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updateLinks="never" defaultThemeVersion="124226"/>
  <mc:AlternateContent xmlns:mc="http://schemas.openxmlformats.org/markup-compatibility/2006">
    <mc:Choice Requires="x15">
      <x15ac:absPath xmlns:x15ac="http://schemas.microsoft.com/office/spreadsheetml/2010/11/ac" url="C:\Users\e082908\Desktop\2025 Drupal site documents\Grantee Reporting Forms\Adult MH\"/>
    </mc:Choice>
  </mc:AlternateContent>
  <xr:revisionPtr revIDLastSave="0" documentId="13_ncr:1_{2B3BEA56-4CC7-433B-A1D5-06BBF93C0970}" xr6:coauthVersionLast="47" xr6:coauthVersionMax="47" xr10:uidLastSave="{00000000-0000-0000-0000-000000000000}"/>
  <bookViews>
    <workbookView xWindow="-120" yWindow="-120" windowWidth="24240" windowHeight="13020" xr2:uid="{00000000-000D-0000-FFFF-FFFF00000000}"/>
  </bookViews>
  <sheets>
    <sheet name="INSTRUCTIONS" sheetId="6" r:id="rId1"/>
    <sheet name="BASE GRANTEE SET UP &amp; INFO" sheetId="9" r:id="rId2"/>
    <sheet name="RC and FUNDS FOR YOU" sheetId="37" r:id="rId3"/>
    <sheet name="Neuropsychological Evals" sheetId="45" r:id="rId4"/>
    <sheet name="Training &amp; TA" sheetId="46" r:id="rId5"/>
    <sheet name="Public Meetings" sheetId="43" r:id="rId6"/>
    <sheet name="Summary " sheetId="23" r:id="rId7"/>
    <sheet name="pick list " sheetId="8" state="hidden" r:id="rId8"/>
    <sheet name="Sheet1" sheetId="42" state="hidden" r:id="rId9"/>
    <sheet name="FUNDS FOR YOU" sheetId="47" state="hidden" r:id="rId10"/>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1014" i="47" l="1"/>
  <c r="AZ1014" i="47"/>
  <c r="AO1014" i="47"/>
  <c r="A1014" i="47"/>
  <c r="BA1013" i="47"/>
  <c r="AZ1013" i="47"/>
  <c r="AO1013" i="47"/>
  <c r="A1013" i="47"/>
  <c r="BA1012" i="47"/>
  <c r="AZ1012" i="47"/>
  <c r="AO1012" i="47"/>
  <c r="A1012" i="47"/>
  <c r="BA1011" i="47"/>
  <c r="AZ1011" i="47"/>
  <c r="AO1011" i="47"/>
  <c r="A1011" i="47"/>
  <c r="BA1010" i="47"/>
  <c r="AZ1010" i="47"/>
  <c r="AO1010" i="47"/>
  <c r="A1010" i="47"/>
  <c r="BA1009" i="47"/>
  <c r="AZ1009" i="47"/>
  <c r="AO1009" i="47"/>
  <c r="A1009" i="47"/>
  <c r="BA1008" i="47"/>
  <c r="AZ1008" i="47"/>
  <c r="AO1008" i="47"/>
  <c r="A1008" i="47"/>
  <c r="BA1007" i="47"/>
  <c r="AZ1007" i="47"/>
  <c r="AO1007" i="47"/>
  <c r="A1007" i="47"/>
  <c r="BA1006" i="47"/>
  <c r="AZ1006" i="47"/>
  <c r="AO1006" i="47"/>
  <c r="A1006" i="47"/>
  <c r="BA1005" i="47"/>
  <c r="AZ1005" i="47"/>
  <c r="AO1005" i="47"/>
  <c r="A1005" i="47"/>
  <c r="BA1004" i="47"/>
  <c r="AZ1004" i="47"/>
  <c r="AO1004" i="47"/>
  <c r="A1004" i="47"/>
  <c r="BA1003" i="47"/>
  <c r="AZ1003" i="47"/>
  <c r="AO1003" i="47"/>
  <c r="A1003" i="47"/>
  <c r="BA1002" i="47"/>
  <c r="AZ1002" i="47"/>
  <c r="AO1002" i="47"/>
  <c r="A1002" i="47"/>
  <c r="BA1001" i="47"/>
  <c r="AZ1001" i="47"/>
  <c r="AO1001" i="47"/>
  <c r="A1001" i="47"/>
  <c r="BA1000" i="47"/>
  <c r="AZ1000" i="47"/>
  <c r="AO1000" i="47"/>
  <c r="A1000" i="47"/>
  <c r="BA999" i="47"/>
  <c r="AZ999" i="47"/>
  <c r="AO999" i="47"/>
  <c r="A999" i="47"/>
  <c r="BA998" i="47"/>
  <c r="AZ998" i="47"/>
  <c r="AO998" i="47"/>
  <c r="A998" i="47"/>
  <c r="BA997" i="47"/>
  <c r="AZ997" i="47"/>
  <c r="AO997" i="47"/>
  <c r="A997" i="47"/>
  <c r="BA996" i="47"/>
  <c r="AZ996" i="47"/>
  <c r="AO996" i="47"/>
  <c r="A996" i="47"/>
  <c r="BA995" i="47"/>
  <c r="AZ995" i="47"/>
  <c r="AO995" i="47"/>
  <c r="A995" i="47"/>
  <c r="BA994" i="47"/>
  <c r="AZ994" i="47"/>
  <c r="AO994" i="47"/>
  <c r="A994" i="47"/>
  <c r="BA993" i="47"/>
  <c r="AZ993" i="47"/>
  <c r="AO993" i="47"/>
  <c r="A993" i="47"/>
  <c r="BA992" i="47"/>
  <c r="AZ992" i="47"/>
  <c r="AO992" i="47"/>
  <c r="A992" i="47"/>
  <c r="BA991" i="47"/>
  <c r="AZ991" i="47"/>
  <c r="AO991" i="47"/>
  <c r="A991" i="47"/>
  <c r="BA990" i="47"/>
  <c r="AZ990" i="47"/>
  <c r="AO990" i="47"/>
  <c r="A990" i="47"/>
  <c r="BA989" i="47"/>
  <c r="AZ989" i="47"/>
  <c r="AO989" i="47"/>
  <c r="A989" i="47"/>
  <c r="BA988" i="47"/>
  <c r="AZ988" i="47"/>
  <c r="AO988" i="47"/>
  <c r="A988" i="47"/>
  <c r="BA987" i="47"/>
  <c r="AZ987" i="47"/>
  <c r="AO987" i="47"/>
  <c r="A987" i="47"/>
  <c r="BA986" i="47"/>
  <c r="AZ986" i="47"/>
  <c r="AO986" i="47"/>
  <c r="A986" i="47"/>
  <c r="BA985" i="47"/>
  <c r="AZ985" i="47"/>
  <c r="AO985" i="47"/>
  <c r="A985" i="47"/>
  <c r="BA984" i="47"/>
  <c r="AZ984" i="47"/>
  <c r="AO984" i="47"/>
  <c r="A984" i="47"/>
  <c r="BA983" i="47"/>
  <c r="AZ983" i="47"/>
  <c r="AO983" i="47"/>
  <c r="A983" i="47"/>
  <c r="BA982" i="47"/>
  <c r="AZ982" i="47"/>
  <c r="AO982" i="47"/>
  <c r="A982" i="47"/>
  <c r="BA981" i="47"/>
  <c r="AZ981" i="47"/>
  <c r="AO981" i="47"/>
  <c r="A981" i="47"/>
  <c r="BA980" i="47"/>
  <c r="AZ980" i="47"/>
  <c r="AO980" i="47"/>
  <c r="A980" i="47"/>
  <c r="BA979" i="47"/>
  <c r="AZ979" i="47"/>
  <c r="AO979" i="47"/>
  <c r="A979" i="47"/>
  <c r="BA978" i="47"/>
  <c r="AZ978" i="47"/>
  <c r="AO978" i="47"/>
  <c r="A978" i="47"/>
  <c r="BA977" i="47"/>
  <c r="AZ977" i="47"/>
  <c r="AO977" i="47"/>
  <c r="A977" i="47"/>
  <c r="BA976" i="47"/>
  <c r="AZ976" i="47"/>
  <c r="AO976" i="47"/>
  <c r="A976" i="47"/>
  <c r="BA975" i="47"/>
  <c r="AZ975" i="47"/>
  <c r="AO975" i="47"/>
  <c r="A975" i="47"/>
  <c r="BA974" i="47"/>
  <c r="AZ974" i="47"/>
  <c r="AO974" i="47"/>
  <c r="A974" i="47"/>
  <c r="BA973" i="47"/>
  <c r="AZ973" i="47"/>
  <c r="AO973" i="47"/>
  <c r="A973" i="47"/>
  <c r="BA972" i="47"/>
  <c r="AZ972" i="47"/>
  <c r="AO972" i="47"/>
  <c r="A972" i="47"/>
  <c r="BA971" i="47"/>
  <c r="AZ971" i="47"/>
  <c r="AO971" i="47"/>
  <c r="A971" i="47"/>
  <c r="BA970" i="47"/>
  <c r="AZ970" i="47"/>
  <c r="AO970" i="47"/>
  <c r="A970" i="47"/>
  <c r="BA969" i="47"/>
  <c r="AZ969" i="47"/>
  <c r="AO969" i="47"/>
  <c r="A969" i="47"/>
  <c r="BA968" i="47"/>
  <c r="AZ968" i="47"/>
  <c r="AO968" i="47"/>
  <c r="A968" i="47"/>
  <c r="BA967" i="47"/>
  <c r="AZ967" i="47"/>
  <c r="AO967" i="47"/>
  <c r="A967" i="47"/>
  <c r="BA966" i="47"/>
  <c r="AZ966" i="47"/>
  <c r="AO966" i="47"/>
  <c r="A966" i="47"/>
  <c r="BA965" i="47"/>
  <c r="AZ965" i="47"/>
  <c r="AO965" i="47"/>
  <c r="A965" i="47"/>
  <c r="BA964" i="47"/>
  <c r="AZ964" i="47"/>
  <c r="AO964" i="47"/>
  <c r="A964" i="47"/>
  <c r="BA963" i="47"/>
  <c r="AZ963" i="47"/>
  <c r="AO963" i="47"/>
  <c r="A963" i="47"/>
  <c r="BA962" i="47"/>
  <c r="AZ962" i="47"/>
  <c r="AO962" i="47"/>
  <c r="A962" i="47"/>
  <c r="BA961" i="47"/>
  <c r="AZ961" i="47"/>
  <c r="AO961" i="47"/>
  <c r="A961" i="47"/>
  <c r="BA960" i="47"/>
  <c r="AZ960" i="47"/>
  <c r="AO960" i="47"/>
  <c r="A960" i="47"/>
  <c r="BA959" i="47"/>
  <c r="AZ959" i="47"/>
  <c r="AO959" i="47"/>
  <c r="A959" i="47"/>
  <c r="BA958" i="47"/>
  <c r="AZ958" i="47"/>
  <c r="AO958" i="47"/>
  <c r="A958" i="47"/>
  <c r="BA957" i="47"/>
  <c r="AZ957" i="47"/>
  <c r="AO957" i="47"/>
  <c r="A957" i="47"/>
  <c r="BA956" i="47"/>
  <c r="AZ956" i="47"/>
  <c r="AO956" i="47"/>
  <c r="A956" i="47"/>
  <c r="BA955" i="47"/>
  <c r="AZ955" i="47"/>
  <c r="AO955" i="47"/>
  <c r="A955" i="47"/>
  <c r="BA954" i="47"/>
  <c r="AZ954" i="47"/>
  <c r="AO954" i="47"/>
  <c r="A954" i="47"/>
  <c r="BA953" i="47"/>
  <c r="AZ953" i="47"/>
  <c r="AO953" i="47"/>
  <c r="A953" i="47"/>
  <c r="BA952" i="47"/>
  <c r="AZ952" i="47"/>
  <c r="AO952" i="47"/>
  <c r="A952" i="47"/>
  <c r="BA951" i="47"/>
  <c r="AZ951" i="47"/>
  <c r="AO951" i="47"/>
  <c r="A951" i="47"/>
  <c r="BA950" i="47"/>
  <c r="AZ950" i="47"/>
  <c r="AO950" i="47"/>
  <c r="A950" i="47"/>
  <c r="BA949" i="47"/>
  <c r="AZ949" i="47"/>
  <c r="AO949" i="47"/>
  <c r="A949" i="47"/>
  <c r="BA948" i="47"/>
  <c r="AZ948" i="47"/>
  <c r="AO948" i="47"/>
  <c r="A948" i="47"/>
  <c r="BA947" i="47"/>
  <c r="AZ947" i="47"/>
  <c r="AO947" i="47"/>
  <c r="A947" i="47"/>
  <c r="BA946" i="47"/>
  <c r="AZ946" i="47"/>
  <c r="AO946" i="47"/>
  <c r="A946" i="47"/>
  <c r="BA945" i="47"/>
  <c r="AZ945" i="47"/>
  <c r="AO945" i="47"/>
  <c r="A945" i="47"/>
  <c r="BA944" i="47"/>
  <c r="AZ944" i="47"/>
  <c r="AO944" i="47"/>
  <c r="A944" i="47"/>
  <c r="BA943" i="47"/>
  <c r="AZ943" i="47"/>
  <c r="AO943" i="47"/>
  <c r="A943" i="47"/>
  <c r="BA942" i="47"/>
  <c r="AZ942" i="47"/>
  <c r="AO942" i="47"/>
  <c r="A942" i="47"/>
  <c r="BA941" i="47"/>
  <c r="AZ941" i="47"/>
  <c r="AO941" i="47"/>
  <c r="A941" i="47"/>
  <c r="BA940" i="47"/>
  <c r="AZ940" i="47"/>
  <c r="AO940" i="47"/>
  <c r="A940" i="47"/>
  <c r="BA939" i="47"/>
  <c r="AZ939" i="47"/>
  <c r="AO939" i="47"/>
  <c r="A939" i="47"/>
  <c r="BA938" i="47"/>
  <c r="AZ938" i="47"/>
  <c r="AO938" i="47"/>
  <c r="A938" i="47"/>
  <c r="BA937" i="47"/>
  <c r="AZ937" i="47"/>
  <c r="AO937" i="47"/>
  <c r="A937" i="47"/>
  <c r="BA936" i="47"/>
  <c r="AZ936" i="47"/>
  <c r="AO936" i="47"/>
  <c r="A936" i="47"/>
  <c r="BA935" i="47"/>
  <c r="AZ935" i="47"/>
  <c r="AO935" i="47"/>
  <c r="A935" i="47"/>
  <c r="BA934" i="47"/>
  <c r="AZ934" i="47"/>
  <c r="AO934" i="47"/>
  <c r="A934" i="47"/>
  <c r="BA933" i="47"/>
  <c r="AZ933" i="47"/>
  <c r="AO933" i="47"/>
  <c r="A933" i="47"/>
  <c r="BA932" i="47"/>
  <c r="AZ932" i="47"/>
  <c r="AO932" i="47"/>
  <c r="A932" i="47"/>
  <c r="BA931" i="47"/>
  <c r="AZ931" i="47"/>
  <c r="AO931" i="47"/>
  <c r="A931" i="47"/>
  <c r="BA930" i="47"/>
  <c r="AZ930" i="47"/>
  <c r="AO930" i="47"/>
  <c r="A930" i="47"/>
  <c r="BA929" i="47"/>
  <c r="AZ929" i="47"/>
  <c r="AO929" i="47"/>
  <c r="A929" i="47"/>
  <c r="BA928" i="47"/>
  <c r="AZ928" i="47"/>
  <c r="AO928" i="47"/>
  <c r="A928" i="47"/>
  <c r="BA927" i="47"/>
  <c r="AZ927" i="47"/>
  <c r="AO927" i="47"/>
  <c r="A927" i="47"/>
  <c r="BA926" i="47"/>
  <c r="AZ926" i="47"/>
  <c r="AO926" i="47"/>
  <c r="A926" i="47"/>
  <c r="BA925" i="47"/>
  <c r="AZ925" i="47"/>
  <c r="AO925" i="47"/>
  <c r="A925" i="47"/>
  <c r="BA924" i="47"/>
  <c r="AZ924" i="47"/>
  <c r="AO924" i="47"/>
  <c r="A924" i="47"/>
  <c r="BA923" i="47"/>
  <c r="AZ923" i="47"/>
  <c r="AO923" i="47"/>
  <c r="A923" i="47"/>
  <c r="BA922" i="47"/>
  <c r="AZ922" i="47"/>
  <c r="AO922" i="47"/>
  <c r="A922" i="47"/>
  <c r="BA921" i="47"/>
  <c r="AZ921" i="47"/>
  <c r="AO921" i="47"/>
  <c r="A921" i="47"/>
  <c r="BA920" i="47"/>
  <c r="AZ920" i="47"/>
  <c r="AO920" i="47"/>
  <c r="A920" i="47"/>
  <c r="BA919" i="47"/>
  <c r="AZ919" i="47"/>
  <c r="AO919" i="47"/>
  <c r="A919" i="47"/>
  <c r="BA918" i="47"/>
  <c r="AZ918" i="47"/>
  <c r="AO918" i="47"/>
  <c r="A918" i="47"/>
  <c r="BA917" i="47"/>
  <c r="AZ917" i="47"/>
  <c r="AO917" i="47"/>
  <c r="A917" i="47"/>
  <c r="BA916" i="47"/>
  <c r="AZ916" i="47"/>
  <c r="AO916" i="47"/>
  <c r="A916" i="47"/>
  <c r="BA915" i="47"/>
  <c r="AZ915" i="47"/>
  <c r="AO915" i="47"/>
  <c r="A915" i="47"/>
  <c r="BA914" i="47"/>
  <c r="AZ914" i="47"/>
  <c r="AO914" i="47"/>
  <c r="A914" i="47"/>
  <c r="BA913" i="47"/>
  <c r="AZ913" i="47"/>
  <c r="AO913" i="47"/>
  <c r="A913" i="47"/>
  <c r="BA912" i="47"/>
  <c r="AZ912" i="47"/>
  <c r="AO912" i="47"/>
  <c r="A912" i="47"/>
  <c r="BA911" i="47"/>
  <c r="AZ911" i="47"/>
  <c r="AO911" i="47"/>
  <c r="A911" i="47"/>
  <c r="BA910" i="47"/>
  <c r="AZ910" i="47"/>
  <c r="AO910" i="47"/>
  <c r="A910" i="47"/>
  <c r="BA909" i="47"/>
  <c r="AZ909" i="47"/>
  <c r="AO909" i="47"/>
  <c r="A909" i="47"/>
  <c r="BA908" i="47"/>
  <c r="AZ908" i="47"/>
  <c r="AO908" i="47"/>
  <c r="A908" i="47"/>
  <c r="BA907" i="47"/>
  <c r="AZ907" i="47"/>
  <c r="AO907" i="47"/>
  <c r="A907" i="47"/>
  <c r="BA906" i="47"/>
  <c r="AZ906" i="47"/>
  <c r="AO906" i="47"/>
  <c r="A906" i="47"/>
  <c r="BA905" i="47"/>
  <c r="AZ905" i="47"/>
  <c r="AO905" i="47"/>
  <c r="A905" i="47"/>
  <c r="BA904" i="47"/>
  <c r="AZ904" i="47"/>
  <c r="AO904" i="47"/>
  <c r="A904" i="47"/>
  <c r="BA903" i="47"/>
  <c r="AZ903" i="47"/>
  <c r="AO903" i="47"/>
  <c r="A903" i="47"/>
  <c r="BA902" i="47"/>
  <c r="AZ902" i="47"/>
  <c r="AO902" i="47"/>
  <c r="A902" i="47"/>
  <c r="BA901" i="47"/>
  <c r="AZ901" i="47"/>
  <c r="AO901" i="47"/>
  <c r="A901" i="47"/>
  <c r="BA900" i="47"/>
  <c r="AZ900" i="47"/>
  <c r="AO900" i="47"/>
  <c r="A900" i="47"/>
  <c r="BA899" i="47"/>
  <c r="AZ899" i="47"/>
  <c r="AO899" i="47"/>
  <c r="A899" i="47"/>
  <c r="BA898" i="47"/>
  <c r="AZ898" i="47"/>
  <c r="AO898" i="47"/>
  <c r="A898" i="47"/>
  <c r="BA897" i="47"/>
  <c r="AZ897" i="47"/>
  <c r="AO897" i="47"/>
  <c r="A897" i="47"/>
  <c r="BA896" i="47"/>
  <c r="AZ896" i="47"/>
  <c r="AO896" i="47"/>
  <c r="A896" i="47"/>
  <c r="BA895" i="47"/>
  <c r="AZ895" i="47"/>
  <c r="AO895" i="47"/>
  <c r="A895" i="47"/>
  <c r="BA894" i="47"/>
  <c r="AZ894" i="47"/>
  <c r="AO894" i="47"/>
  <c r="A894" i="47"/>
  <c r="BA893" i="47"/>
  <c r="AZ893" i="47"/>
  <c r="AO893" i="47"/>
  <c r="A893" i="47"/>
  <c r="BA892" i="47"/>
  <c r="AZ892" i="47"/>
  <c r="AO892" i="47"/>
  <c r="A892" i="47"/>
  <c r="BA891" i="47"/>
  <c r="AZ891" i="47"/>
  <c r="AO891" i="47"/>
  <c r="A891" i="47"/>
  <c r="BA890" i="47"/>
  <c r="AZ890" i="47"/>
  <c r="AO890" i="47"/>
  <c r="A890" i="47"/>
  <c r="BA889" i="47"/>
  <c r="AZ889" i="47"/>
  <c r="AO889" i="47"/>
  <c r="A889" i="47"/>
  <c r="BA888" i="47"/>
  <c r="AZ888" i="47"/>
  <c r="AO888" i="47"/>
  <c r="A888" i="47"/>
  <c r="BA887" i="47"/>
  <c r="AZ887" i="47"/>
  <c r="AO887" i="47"/>
  <c r="A887" i="47"/>
  <c r="BA886" i="47"/>
  <c r="AZ886" i="47"/>
  <c r="AO886" i="47"/>
  <c r="A886" i="47"/>
  <c r="BA885" i="47"/>
  <c r="AZ885" i="47"/>
  <c r="AO885" i="47"/>
  <c r="A885" i="47"/>
  <c r="BA884" i="47"/>
  <c r="AZ884" i="47"/>
  <c r="AO884" i="47"/>
  <c r="A884" i="47"/>
  <c r="BA883" i="47"/>
  <c r="AZ883" i="47"/>
  <c r="AO883" i="47"/>
  <c r="A883" i="47"/>
  <c r="BA882" i="47"/>
  <c r="AZ882" i="47"/>
  <c r="AO882" i="47"/>
  <c r="A882" i="47"/>
  <c r="BA881" i="47"/>
  <c r="AZ881" i="47"/>
  <c r="AO881" i="47"/>
  <c r="A881" i="47"/>
  <c r="BA880" i="47"/>
  <c r="AZ880" i="47"/>
  <c r="AO880" i="47"/>
  <c r="A880" i="47"/>
  <c r="BA879" i="47"/>
  <c r="AZ879" i="47"/>
  <c r="AO879" i="47"/>
  <c r="A879" i="47"/>
  <c r="BA878" i="47"/>
  <c r="AZ878" i="47"/>
  <c r="AO878" i="47"/>
  <c r="A878" i="47"/>
  <c r="BA877" i="47"/>
  <c r="AZ877" i="47"/>
  <c r="AO877" i="47"/>
  <c r="A877" i="47"/>
  <c r="BA876" i="47"/>
  <c r="AZ876" i="47"/>
  <c r="AO876" i="47"/>
  <c r="A876" i="47"/>
  <c r="BA875" i="47"/>
  <c r="AZ875" i="47"/>
  <c r="AO875" i="47"/>
  <c r="A875" i="47"/>
  <c r="BA874" i="47"/>
  <c r="AZ874" i="47"/>
  <c r="AO874" i="47"/>
  <c r="A874" i="47"/>
  <c r="BA873" i="47"/>
  <c r="AZ873" i="47"/>
  <c r="AO873" i="47"/>
  <c r="A873" i="47"/>
  <c r="BA872" i="47"/>
  <c r="AZ872" i="47"/>
  <c r="AO872" i="47"/>
  <c r="A872" i="47"/>
  <c r="BA871" i="47"/>
  <c r="AZ871" i="47"/>
  <c r="AO871" i="47"/>
  <c r="A871" i="47"/>
  <c r="BA870" i="47"/>
  <c r="AZ870" i="47"/>
  <c r="AO870" i="47"/>
  <c r="A870" i="47"/>
  <c r="BA869" i="47"/>
  <c r="AZ869" i="47"/>
  <c r="AO869" i="47"/>
  <c r="A869" i="47"/>
  <c r="BA868" i="47"/>
  <c r="AZ868" i="47"/>
  <c r="AO868" i="47"/>
  <c r="A868" i="47"/>
  <c r="BA867" i="47"/>
  <c r="AZ867" i="47"/>
  <c r="AO867" i="47"/>
  <c r="A867" i="47"/>
  <c r="BA866" i="47"/>
  <c r="AZ866" i="47"/>
  <c r="AO866" i="47"/>
  <c r="A866" i="47"/>
  <c r="BA865" i="47"/>
  <c r="AZ865" i="47"/>
  <c r="AO865" i="47"/>
  <c r="A865" i="47"/>
  <c r="BA864" i="47"/>
  <c r="AZ864" i="47"/>
  <c r="AO864" i="47"/>
  <c r="A864" i="47"/>
  <c r="BA863" i="47"/>
  <c r="AZ863" i="47"/>
  <c r="AO863" i="47"/>
  <c r="A863" i="47"/>
  <c r="BA862" i="47"/>
  <c r="AZ862" i="47"/>
  <c r="AO862" i="47"/>
  <c r="A862" i="47"/>
  <c r="BA861" i="47"/>
  <c r="AZ861" i="47"/>
  <c r="AO861" i="47"/>
  <c r="A861" i="47"/>
  <c r="BA860" i="47"/>
  <c r="AZ860" i="47"/>
  <c r="AO860" i="47"/>
  <c r="A860" i="47"/>
  <c r="BA859" i="47"/>
  <c r="AZ859" i="47"/>
  <c r="AO859" i="47"/>
  <c r="A859" i="47"/>
  <c r="BA858" i="47"/>
  <c r="AZ858" i="47"/>
  <c r="AO858" i="47"/>
  <c r="A858" i="47"/>
  <c r="BA857" i="47"/>
  <c r="AZ857" i="47"/>
  <c r="AO857" i="47"/>
  <c r="A857" i="47"/>
  <c r="BA856" i="47"/>
  <c r="AZ856" i="47"/>
  <c r="AO856" i="47"/>
  <c r="A856" i="47"/>
  <c r="BA855" i="47"/>
  <c r="AZ855" i="47"/>
  <c r="AO855" i="47"/>
  <c r="A855" i="47"/>
  <c r="BA854" i="47"/>
  <c r="AZ854" i="47"/>
  <c r="AO854" i="47"/>
  <c r="A854" i="47"/>
  <c r="BA853" i="47"/>
  <c r="AZ853" i="47"/>
  <c r="AO853" i="47"/>
  <c r="A853" i="47"/>
  <c r="BA852" i="47"/>
  <c r="AZ852" i="47"/>
  <c r="AO852" i="47"/>
  <c r="A852" i="47"/>
  <c r="BA851" i="47"/>
  <c r="AZ851" i="47"/>
  <c r="AO851" i="47"/>
  <c r="A851" i="47"/>
  <c r="BA850" i="47"/>
  <c r="AZ850" i="47"/>
  <c r="AO850" i="47"/>
  <c r="A850" i="47"/>
  <c r="BA849" i="47"/>
  <c r="AZ849" i="47"/>
  <c r="AO849" i="47"/>
  <c r="A849" i="47"/>
  <c r="BA848" i="47"/>
  <c r="AZ848" i="47"/>
  <c r="AO848" i="47"/>
  <c r="A848" i="47"/>
  <c r="BA847" i="47"/>
  <c r="AZ847" i="47"/>
  <c r="AO847" i="47"/>
  <c r="A847" i="47"/>
  <c r="BA846" i="47"/>
  <c r="AZ846" i="47"/>
  <c r="AO846" i="47"/>
  <c r="A846" i="47"/>
  <c r="BA845" i="47"/>
  <c r="AZ845" i="47"/>
  <c r="AO845" i="47"/>
  <c r="A845" i="47"/>
  <c r="BA844" i="47"/>
  <c r="AZ844" i="47"/>
  <c r="AO844" i="47"/>
  <c r="A844" i="47"/>
  <c r="BA843" i="47"/>
  <c r="AZ843" i="47"/>
  <c r="AO843" i="47"/>
  <c r="A843" i="47"/>
  <c r="BA842" i="47"/>
  <c r="AZ842" i="47"/>
  <c r="AO842" i="47"/>
  <c r="A842" i="47"/>
  <c r="BA841" i="47"/>
  <c r="AZ841" i="47"/>
  <c r="AO841" i="47"/>
  <c r="A841" i="47"/>
  <c r="BA840" i="47"/>
  <c r="AZ840" i="47"/>
  <c r="AO840" i="47"/>
  <c r="A840" i="47"/>
  <c r="BA839" i="47"/>
  <c r="AZ839" i="47"/>
  <c r="AO839" i="47"/>
  <c r="A839" i="47"/>
  <c r="BA838" i="47"/>
  <c r="AZ838" i="47"/>
  <c r="AO838" i="47"/>
  <c r="A838" i="47"/>
  <c r="BA837" i="47"/>
  <c r="AZ837" i="47"/>
  <c r="AO837" i="47"/>
  <c r="A837" i="47"/>
  <c r="BA836" i="47"/>
  <c r="AZ836" i="47"/>
  <c r="AO836" i="47"/>
  <c r="A836" i="47"/>
  <c r="BA835" i="47"/>
  <c r="AZ835" i="47"/>
  <c r="AO835" i="47"/>
  <c r="A835" i="47"/>
  <c r="BA834" i="47"/>
  <c r="AZ834" i="47"/>
  <c r="AO834" i="47"/>
  <c r="A834" i="47"/>
  <c r="BA833" i="47"/>
  <c r="AZ833" i="47"/>
  <c r="AO833" i="47"/>
  <c r="A833" i="47"/>
  <c r="BA832" i="47"/>
  <c r="AZ832" i="47"/>
  <c r="AO832" i="47"/>
  <c r="A832" i="47"/>
  <c r="BA831" i="47"/>
  <c r="AZ831" i="47"/>
  <c r="AO831" i="47"/>
  <c r="A831" i="47"/>
  <c r="BA830" i="47"/>
  <c r="AZ830" i="47"/>
  <c r="AO830" i="47"/>
  <c r="A830" i="47"/>
  <c r="BA829" i="47"/>
  <c r="AZ829" i="47"/>
  <c r="AO829" i="47"/>
  <c r="A829" i="47"/>
  <c r="BA828" i="47"/>
  <c r="AZ828" i="47"/>
  <c r="AO828" i="47"/>
  <c r="A828" i="47"/>
  <c r="BA827" i="47"/>
  <c r="AZ827" i="47"/>
  <c r="AO827" i="47"/>
  <c r="A827" i="47"/>
  <c r="BA826" i="47"/>
  <c r="AZ826" i="47"/>
  <c r="AO826" i="47"/>
  <c r="A826" i="47"/>
  <c r="BA825" i="47"/>
  <c r="AZ825" i="47"/>
  <c r="AO825" i="47"/>
  <c r="A825" i="47"/>
  <c r="BA824" i="47"/>
  <c r="AZ824" i="47"/>
  <c r="AO824" i="47"/>
  <c r="A824" i="47"/>
  <c r="BA823" i="47"/>
  <c r="AZ823" i="47"/>
  <c r="AO823" i="47"/>
  <c r="A823" i="47"/>
  <c r="BA822" i="47"/>
  <c r="AZ822" i="47"/>
  <c r="AO822" i="47"/>
  <c r="A822" i="47"/>
  <c r="BA821" i="47"/>
  <c r="AZ821" i="47"/>
  <c r="AO821" i="47"/>
  <c r="A821" i="47"/>
  <c r="BA820" i="47"/>
  <c r="AZ820" i="47"/>
  <c r="AO820" i="47"/>
  <c r="A820" i="47"/>
  <c r="BA819" i="47"/>
  <c r="AZ819" i="47"/>
  <c r="AO819" i="47"/>
  <c r="A819" i="47"/>
  <c r="BA818" i="47"/>
  <c r="AZ818" i="47"/>
  <c r="AO818" i="47"/>
  <c r="A818" i="47"/>
  <c r="BA817" i="47"/>
  <c r="AZ817" i="47"/>
  <c r="AO817" i="47"/>
  <c r="A817" i="47"/>
  <c r="BA816" i="47"/>
  <c r="AZ816" i="47"/>
  <c r="AO816" i="47"/>
  <c r="A816" i="47"/>
  <c r="BA815" i="47"/>
  <c r="AZ815" i="47"/>
  <c r="AO815" i="47"/>
  <c r="A815" i="47"/>
  <c r="BA814" i="47"/>
  <c r="AZ814" i="47"/>
  <c r="AO814" i="47"/>
  <c r="A814" i="47"/>
  <c r="BA813" i="47"/>
  <c r="AZ813" i="47"/>
  <c r="AO813" i="47"/>
  <c r="A813" i="47"/>
  <c r="BA812" i="47"/>
  <c r="AZ812" i="47"/>
  <c r="AO812" i="47"/>
  <c r="A812" i="47"/>
  <c r="BA811" i="47"/>
  <c r="AZ811" i="47"/>
  <c r="AO811" i="47"/>
  <c r="A811" i="47"/>
  <c r="BA810" i="47"/>
  <c r="AZ810" i="47"/>
  <c r="AO810" i="47"/>
  <c r="A810" i="47"/>
  <c r="BA809" i="47"/>
  <c r="AZ809" i="47"/>
  <c r="AO809" i="47"/>
  <c r="A809" i="47"/>
  <c r="BA808" i="47"/>
  <c r="AZ808" i="47"/>
  <c r="AO808" i="47"/>
  <c r="A808" i="47"/>
  <c r="BA807" i="47"/>
  <c r="AZ807" i="47"/>
  <c r="AO807" i="47"/>
  <c r="A807" i="47"/>
  <c r="BA806" i="47"/>
  <c r="AZ806" i="47"/>
  <c r="AO806" i="47"/>
  <c r="A806" i="47"/>
  <c r="BA805" i="47"/>
  <c r="AZ805" i="47"/>
  <c r="AO805" i="47"/>
  <c r="A805" i="47"/>
  <c r="BA804" i="47"/>
  <c r="AZ804" i="47"/>
  <c r="AO804" i="47"/>
  <c r="A804" i="47"/>
  <c r="BA803" i="47"/>
  <c r="AZ803" i="47"/>
  <c r="AO803" i="47"/>
  <c r="A803" i="47"/>
  <c r="BA802" i="47"/>
  <c r="AZ802" i="47"/>
  <c r="AO802" i="47"/>
  <c r="A802" i="47"/>
  <c r="BA801" i="47"/>
  <c r="AZ801" i="47"/>
  <c r="AO801" i="47"/>
  <c r="A801" i="47"/>
  <c r="BA800" i="47"/>
  <c r="AZ800" i="47"/>
  <c r="AO800" i="47"/>
  <c r="A800" i="47"/>
  <c r="BA799" i="47"/>
  <c r="AZ799" i="47"/>
  <c r="AO799" i="47"/>
  <c r="A799" i="47"/>
  <c r="BA798" i="47"/>
  <c r="AZ798" i="47"/>
  <c r="AO798" i="47"/>
  <c r="A798" i="47"/>
  <c r="BA797" i="47"/>
  <c r="AZ797" i="47"/>
  <c r="AO797" i="47"/>
  <c r="A797" i="47"/>
  <c r="BA796" i="47"/>
  <c r="AZ796" i="47"/>
  <c r="AO796" i="47"/>
  <c r="A796" i="47"/>
  <c r="BA795" i="47"/>
  <c r="AZ795" i="47"/>
  <c r="AO795" i="47"/>
  <c r="A795" i="47"/>
  <c r="BA794" i="47"/>
  <c r="AZ794" i="47"/>
  <c r="AO794" i="47"/>
  <c r="A794" i="47"/>
  <c r="BA793" i="47"/>
  <c r="AZ793" i="47"/>
  <c r="AO793" i="47"/>
  <c r="A793" i="47"/>
  <c r="BA792" i="47"/>
  <c r="AZ792" i="47"/>
  <c r="AO792" i="47"/>
  <c r="A792" i="47"/>
  <c r="BA791" i="47"/>
  <c r="AZ791" i="47"/>
  <c r="AO791" i="47"/>
  <c r="A791" i="47"/>
  <c r="BA790" i="47"/>
  <c r="AZ790" i="47"/>
  <c r="AO790" i="47"/>
  <c r="A790" i="47"/>
  <c r="BA789" i="47"/>
  <c r="AZ789" i="47"/>
  <c r="AO789" i="47"/>
  <c r="A789" i="47"/>
  <c r="BA788" i="47"/>
  <c r="AZ788" i="47"/>
  <c r="AO788" i="47"/>
  <c r="A788" i="47"/>
  <c r="BA787" i="47"/>
  <c r="AZ787" i="47"/>
  <c r="AO787" i="47"/>
  <c r="A787" i="47"/>
  <c r="BA786" i="47"/>
  <c r="AZ786" i="47"/>
  <c r="AO786" i="47"/>
  <c r="A786" i="47"/>
  <c r="BA785" i="47"/>
  <c r="AZ785" i="47"/>
  <c r="AO785" i="47"/>
  <c r="A785" i="47"/>
  <c r="BA784" i="47"/>
  <c r="AZ784" i="47"/>
  <c r="AO784" i="47"/>
  <c r="A784" i="47"/>
  <c r="BA783" i="47"/>
  <c r="AZ783" i="47"/>
  <c r="AO783" i="47"/>
  <c r="A783" i="47"/>
  <c r="BA782" i="47"/>
  <c r="AZ782" i="47"/>
  <c r="AO782" i="47"/>
  <c r="A782" i="47"/>
  <c r="BA781" i="47"/>
  <c r="AZ781" i="47"/>
  <c r="AO781" i="47"/>
  <c r="A781" i="47"/>
  <c r="BA780" i="47"/>
  <c r="AZ780" i="47"/>
  <c r="AO780" i="47"/>
  <c r="A780" i="47"/>
  <c r="BA779" i="47"/>
  <c r="AZ779" i="47"/>
  <c r="AO779" i="47"/>
  <c r="A779" i="47"/>
  <c r="BA778" i="47"/>
  <c r="AZ778" i="47"/>
  <c r="AO778" i="47"/>
  <c r="A778" i="47"/>
  <c r="BA777" i="47"/>
  <c r="AZ777" i="47"/>
  <c r="AO777" i="47"/>
  <c r="A777" i="47"/>
  <c r="BA776" i="47"/>
  <c r="AZ776" i="47"/>
  <c r="AO776" i="47"/>
  <c r="A776" i="47"/>
  <c r="BA775" i="47"/>
  <c r="AZ775" i="47"/>
  <c r="AO775" i="47"/>
  <c r="A775" i="47"/>
  <c r="BA774" i="47"/>
  <c r="AZ774" i="47"/>
  <c r="AO774" i="47"/>
  <c r="A774" i="47"/>
  <c r="BA773" i="47"/>
  <c r="AZ773" i="47"/>
  <c r="AO773" i="47"/>
  <c r="A773" i="47"/>
  <c r="BA772" i="47"/>
  <c r="AZ772" i="47"/>
  <c r="AO772" i="47"/>
  <c r="A772" i="47"/>
  <c r="BA771" i="47"/>
  <c r="AZ771" i="47"/>
  <c r="AO771" i="47"/>
  <c r="A771" i="47"/>
  <c r="BA770" i="47"/>
  <c r="AZ770" i="47"/>
  <c r="AO770" i="47"/>
  <c r="A770" i="47"/>
  <c r="BA769" i="47"/>
  <c r="AZ769" i="47"/>
  <c r="AO769" i="47"/>
  <c r="A769" i="47"/>
  <c r="BA768" i="47"/>
  <c r="AZ768" i="47"/>
  <c r="AO768" i="47"/>
  <c r="A768" i="47"/>
  <c r="BA767" i="47"/>
  <c r="AZ767" i="47"/>
  <c r="AO767" i="47"/>
  <c r="A767" i="47"/>
  <c r="BA766" i="47"/>
  <c r="AZ766" i="47"/>
  <c r="AO766" i="47"/>
  <c r="A766" i="47"/>
  <c r="BA765" i="47"/>
  <c r="AZ765" i="47"/>
  <c r="AO765" i="47"/>
  <c r="A765" i="47"/>
  <c r="BA764" i="47"/>
  <c r="AZ764" i="47"/>
  <c r="AO764" i="47"/>
  <c r="A764" i="47"/>
  <c r="BA763" i="47"/>
  <c r="AZ763" i="47"/>
  <c r="AO763" i="47"/>
  <c r="A763" i="47"/>
  <c r="BA762" i="47"/>
  <c r="AZ762" i="47"/>
  <c r="AO762" i="47"/>
  <c r="A762" i="47"/>
  <c r="BA761" i="47"/>
  <c r="AZ761" i="47"/>
  <c r="AO761" i="47"/>
  <c r="A761" i="47"/>
  <c r="BA760" i="47"/>
  <c r="AZ760" i="47"/>
  <c r="AO760" i="47"/>
  <c r="A760" i="47"/>
  <c r="BA759" i="47"/>
  <c r="AZ759" i="47"/>
  <c r="AO759" i="47"/>
  <c r="A759" i="47"/>
  <c r="BA758" i="47"/>
  <c r="AZ758" i="47"/>
  <c r="AO758" i="47"/>
  <c r="A758" i="47"/>
  <c r="BA757" i="47"/>
  <c r="AZ757" i="47"/>
  <c r="AO757" i="47"/>
  <c r="A757" i="47"/>
  <c r="BA756" i="47"/>
  <c r="AZ756" i="47"/>
  <c r="AO756" i="47"/>
  <c r="A756" i="47"/>
  <c r="BA755" i="47"/>
  <c r="AZ755" i="47"/>
  <c r="AO755" i="47"/>
  <c r="A755" i="47"/>
  <c r="BA754" i="47"/>
  <c r="AZ754" i="47"/>
  <c r="AO754" i="47"/>
  <c r="A754" i="47"/>
  <c r="BA753" i="47"/>
  <c r="AZ753" i="47"/>
  <c r="AO753" i="47"/>
  <c r="A753" i="47"/>
  <c r="BA752" i="47"/>
  <c r="AZ752" i="47"/>
  <c r="AO752" i="47"/>
  <c r="A752" i="47"/>
  <c r="BA751" i="47"/>
  <c r="AZ751" i="47"/>
  <c r="AO751" i="47"/>
  <c r="A751" i="47"/>
  <c r="BA750" i="47"/>
  <c r="AZ750" i="47"/>
  <c r="AO750" i="47"/>
  <c r="A750" i="47"/>
  <c r="BA749" i="47"/>
  <c r="AZ749" i="47"/>
  <c r="AO749" i="47"/>
  <c r="A749" i="47"/>
  <c r="BA748" i="47"/>
  <c r="AZ748" i="47"/>
  <c r="AO748" i="47"/>
  <c r="A748" i="47"/>
  <c r="BA747" i="47"/>
  <c r="AZ747" i="47"/>
  <c r="AO747" i="47"/>
  <c r="A747" i="47"/>
  <c r="BA746" i="47"/>
  <c r="AZ746" i="47"/>
  <c r="AO746" i="47"/>
  <c r="A746" i="47"/>
  <c r="BA745" i="47"/>
  <c r="AZ745" i="47"/>
  <c r="AO745" i="47"/>
  <c r="A745" i="47"/>
  <c r="BA744" i="47"/>
  <c r="AZ744" i="47"/>
  <c r="AO744" i="47"/>
  <c r="A744" i="47"/>
  <c r="BA743" i="47"/>
  <c r="AZ743" i="47"/>
  <c r="AO743" i="47"/>
  <c r="A743" i="47"/>
  <c r="BA742" i="47"/>
  <c r="AZ742" i="47"/>
  <c r="AO742" i="47"/>
  <c r="A742" i="47"/>
  <c r="BA741" i="47"/>
  <c r="AZ741" i="47"/>
  <c r="AO741" i="47"/>
  <c r="A741" i="47"/>
  <c r="BA740" i="47"/>
  <c r="AZ740" i="47"/>
  <c r="AO740" i="47"/>
  <c r="A740" i="47"/>
  <c r="BA739" i="47"/>
  <c r="AZ739" i="47"/>
  <c r="AO739" i="47"/>
  <c r="A739" i="47"/>
  <c r="BA738" i="47"/>
  <c r="AZ738" i="47"/>
  <c r="AO738" i="47"/>
  <c r="A738" i="47"/>
  <c r="BA737" i="47"/>
  <c r="AZ737" i="47"/>
  <c r="AO737" i="47"/>
  <c r="A737" i="47"/>
  <c r="BA736" i="47"/>
  <c r="AZ736" i="47"/>
  <c r="AO736" i="47"/>
  <c r="A736" i="47"/>
  <c r="BA735" i="47"/>
  <c r="AZ735" i="47"/>
  <c r="AO735" i="47"/>
  <c r="A735" i="47"/>
  <c r="BA734" i="47"/>
  <c r="AZ734" i="47"/>
  <c r="AO734" i="47"/>
  <c r="A734" i="47"/>
  <c r="BA733" i="47"/>
  <c r="AZ733" i="47"/>
  <c r="AO733" i="47"/>
  <c r="A733" i="47"/>
  <c r="BA732" i="47"/>
  <c r="AZ732" i="47"/>
  <c r="AO732" i="47"/>
  <c r="A732" i="47"/>
  <c r="BA731" i="47"/>
  <c r="AZ731" i="47"/>
  <c r="AO731" i="47"/>
  <c r="A731" i="47"/>
  <c r="BA730" i="47"/>
  <c r="AZ730" i="47"/>
  <c r="AO730" i="47"/>
  <c r="A730" i="47"/>
  <c r="BA729" i="47"/>
  <c r="AZ729" i="47"/>
  <c r="AO729" i="47"/>
  <c r="A729" i="47"/>
  <c r="BA728" i="47"/>
  <c r="AZ728" i="47"/>
  <c r="AO728" i="47"/>
  <c r="A728" i="47"/>
  <c r="BA727" i="47"/>
  <c r="AZ727" i="47"/>
  <c r="AO727" i="47"/>
  <c r="A727" i="47"/>
  <c r="BA726" i="47"/>
  <c r="AZ726" i="47"/>
  <c r="AO726" i="47"/>
  <c r="A726" i="47"/>
  <c r="BA725" i="47"/>
  <c r="AZ725" i="47"/>
  <c r="AO725" i="47"/>
  <c r="A725" i="47"/>
  <c r="BA724" i="47"/>
  <c r="AZ724" i="47"/>
  <c r="AO724" i="47"/>
  <c r="A724" i="47"/>
  <c r="BA723" i="47"/>
  <c r="AZ723" i="47"/>
  <c r="AO723" i="47"/>
  <c r="A723" i="47"/>
  <c r="BA722" i="47"/>
  <c r="AZ722" i="47"/>
  <c r="AO722" i="47"/>
  <c r="A722" i="47"/>
  <c r="BA721" i="47"/>
  <c r="AZ721" i="47"/>
  <c r="AO721" i="47"/>
  <c r="A721" i="47"/>
  <c r="BA720" i="47"/>
  <c r="AZ720" i="47"/>
  <c r="AO720" i="47"/>
  <c r="A720" i="47"/>
  <c r="BA719" i="47"/>
  <c r="AZ719" i="47"/>
  <c r="AO719" i="47"/>
  <c r="A719" i="47"/>
  <c r="BA718" i="47"/>
  <c r="AZ718" i="47"/>
  <c r="AO718" i="47"/>
  <c r="A718" i="47"/>
  <c r="BA717" i="47"/>
  <c r="AZ717" i="47"/>
  <c r="AO717" i="47"/>
  <c r="A717" i="47"/>
  <c r="BA716" i="47"/>
  <c r="AZ716" i="47"/>
  <c r="AO716" i="47"/>
  <c r="A716" i="47"/>
  <c r="BA715" i="47"/>
  <c r="AZ715" i="47"/>
  <c r="AO715" i="47"/>
  <c r="A715" i="47"/>
  <c r="BA714" i="47"/>
  <c r="AZ714" i="47"/>
  <c r="AO714" i="47"/>
  <c r="A714" i="47"/>
  <c r="BA713" i="47"/>
  <c r="AZ713" i="47"/>
  <c r="AO713" i="47"/>
  <c r="A713" i="47"/>
  <c r="BA712" i="47"/>
  <c r="AZ712" i="47"/>
  <c r="AO712" i="47"/>
  <c r="A712" i="47"/>
  <c r="BA711" i="47"/>
  <c r="AZ711" i="47"/>
  <c r="AO711" i="47"/>
  <c r="A711" i="47"/>
  <c r="BA710" i="47"/>
  <c r="AZ710" i="47"/>
  <c r="AO710" i="47"/>
  <c r="A710" i="47"/>
  <c r="BA709" i="47"/>
  <c r="AZ709" i="47"/>
  <c r="AO709" i="47"/>
  <c r="A709" i="47"/>
  <c r="BA708" i="47"/>
  <c r="AZ708" i="47"/>
  <c r="AO708" i="47"/>
  <c r="A708" i="47"/>
  <c r="BA707" i="47"/>
  <c r="AZ707" i="47"/>
  <c r="AO707" i="47"/>
  <c r="A707" i="47"/>
  <c r="BA706" i="47"/>
  <c r="AZ706" i="47"/>
  <c r="AO706" i="47"/>
  <c r="A706" i="47"/>
  <c r="BA705" i="47"/>
  <c r="AZ705" i="47"/>
  <c r="AO705" i="47"/>
  <c r="A705" i="47"/>
  <c r="BA704" i="47"/>
  <c r="AZ704" i="47"/>
  <c r="AO704" i="47"/>
  <c r="A704" i="47"/>
  <c r="BA703" i="47"/>
  <c r="AZ703" i="47"/>
  <c r="AO703" i="47"/>
  <c r="A703" i="47"/>
  <c r="BA702" i="47"/>
  <c r="AZ702" i="47"/>
  <c r="AO702" i="47"/>
  <c r="A702" i="47"/>
  <c r="BA701" i="47"/>
  <c r="AZ701" i="47"/>
  <c r="AO701" i="47"/>
  <c r="A701" i="47"/>
  <c r="BA700" i="47"/>
  <c r="AZ700" i="47"/>
  <c r="AO700" i="47"/>
  <c r="A700" i="47"/>
  <c r="BA699" i="47"/>
  <c r="AZ699" i="47"/>
  <c r="AO699" i="47"/>
  <c r="A699" i="47"/>
  <c r="BA698" i="47"/>
  <c r="AZ698" i="47"/>
  <c r="AO698" i="47"/>
  <c r="A698" i="47"/>
  <c r="BA697" i="47"/>
  <c r="AZ697" i="47"/>
  <c r="AO697" i="47"/>
  <c r="A697" i="47"/>
  <c r="BA696" i="47"/>
  <c r="AZ696" i="47"/>
  <c r="AO696" i="47"/>
  <c r="A696" i="47"/>
  <c r="BA695" i="47"/>
  <c r="AZ695" i="47"/>
  <c r="AO695" i="47"/>
  <c r="A695" i="47"/>
  <c r="BA694" i="47"/>
  <c r="AZ694" i="47"/>
  <c r="AO694" i="47"/>
  <c r="A694" i="47"/>
  <c r="BA693" i="47"/>
  <c r="AZ693" i="47"/>
  <c r="AO693" i="47"/>
  <c r="A693" i="47"/>
  <c r="BA692" i="47"/>
  <c r="AZ692" i="47"/>
  <c r="AO692" i="47"/>
  <c r="A692" i="47"/>
  <c r="BA691" i="47"/>
  <c r="AZ691" i="47"/>
  <c r="AO691" i="47"/>
  <c r="A691" i="47"/>
  <c r="BA690" i="47"/>
  <c r="AZ690" i="47"/>
  <c r="AO690" i="47"/>
  <c r="A690" i="47"/>
  <c r="BA689" i="47"/>
  <c r="AZ689" i="47"/>
  <c r="AO689" i="47"/>
  <c r="A689" i="47"/>
  <c r="BA688" i="47"/>
  <c r="AZ688" i="47"/>
  <c r="AO688" i="47"/>
  <c r="A688" i="47"/>
  <c r="BA687" i="47"/>
  <c r="AZ687" i="47"/>
  <c r="AO687" i="47"/>
  <c r="A687" i="47"/>
  <c r="BA686" i="47"/>
  <c r="AZ686" i="47"/>
  <c r="AO686" i="47"/>
  <c r="A686" i="47"/>
  <c r="BA685" i="47"/>
  <c r="AZ685" i="47"/>
  <c r="AO685" i="47"/>
  <c r="A685" i="47"/>
  <c r="BA684" i="47"/>
  <c r="AZ684" i="47"/>
  <c r="AO684" i="47"/>
  <c r="A684" i="47"/>
  <c r="BA683" i="47"/>
  <c r="AZ683" i="47"/>
  <c r="AO683" i="47"/>
  <c r="A683" i="47"/>
  <c r="BA682" i="47"/>
  <c r="AZ682" i="47"/>
  <c r="AO682" i="47"/>
  <c r="A682" i="47"/>
  <c r="BA681" i="47"/>
  <c r="AZ681" i="47"/>
  <c r="AO681" i="47"/>
  <c r="A681" i="47"/>
  <c r="BA680" i="47"/>
  <c r="AZ680" i="47"/>
  <c r="AO680" i="47"/>
  <c r="A680" i="47"/>
  <c r="BA679" i="47"/>
  <c r="AZ679" i="47"/>
  <c r="AO679" i="47"/>
  <c r="A679" i="47"/>
  <c r="BA678" i="47"/>
  <c r="AZ678" i="47"/>
  <c r="AO678" i="47"/>
  <c r="A678" i="47"/>
  <c r="BA677" i="47"/>
  <c r="AZ677" i="47"/>
  <c r="AO677" i="47"/>
  <c r="A677" i="47"/>
  <c r="BA676" i="47"/>
  <c r="AZ676" i="47"/>
  <c r="AO676" i="47"/>
  <c r="A676" i="47"/>
  <c r="BA675" i="47"/>
  <c r="AZ675" i="47"/>
  <c r="AO675" i="47"/>
  <c r="A675" i="47"/>
  <c r="BA674" i="47"/>
  <c r="AZ674" i="47"/>
  <c r="AO674" i="47"/>
  <c r="A674" i="47"/>
  <c r="BA673" i="47"/>
  <c r="AZ673" i="47"/>
  <c r="AO673" i="47"/>
  <c r="A673" i="47"/>
  <c r="BA672" i="47"/>
  <c r="AZ672" i="47"/>
  <c r="AO672" i="47"/>
  <c r="A672" i="47"/>
  <c r="BA671" i="47"/>
  <c r="AZ671" i="47"/>
  <c r="AO671" i="47"/>
  <c r="A671" i="47"/>
  <c r="BA670" i="47"/>
  <c r="AZ670" i="47"/>
  <c r="AO670" i="47"/>
  <c r="A670" i="47"/>
  <c r="BA669" i="47"/>
  <c r="AZ669" i="47"/>
  <c r="AO669" i="47"/>
  <c r="A669" i="47"/>
  <c r="BA668" i="47"/>
  <c r="AZ668" i="47"/>
  <c r="AO668" i="47"/>
  <c r="A668" i="47"/>
  <c r="BA667" i="47"/>
  <c r="AZ667" i="47"/>
  <c r="AO667" i="47"/>
  <c r="A667" i="47"/>
  <c r="BA666" i="47"/>
  <c r="AZ666" i="47"/>
  <c r="AO666" i="47"/>
  <c r="A666" i="47"/>
  <c r="BA665" i="47"/>
  <c r="AZ665" i="47"/>
  <c r="AO665" i="47"/>
  <c r="A665" i="47"/>
  <c r="BA664" i="47"/>
  <c r="AZ664" i="47"/>
  <c r="AO664" i="47"/>
  <c r="A664" i="47"/>
  <c r="BA663" i="47"/>
  <c r="AZ663" i="47"/>
  <c r="AO663" i="47"/>
  <c r="A663" i="47"/>
  <c r="BA662" i="47"/>
  <c r="AZ662" i="47"/>
  <c r="AO662" i="47"/>
  <c r="A662" i="47"/>
  <c r="BA661" i="47"/>
  <c r="AZ661" i="47"/>
  <c r="AO661" i="47"/>
  <c r="A661" i="47"/>
  <c r="BA660" i="47"/>
  <c r="AZ660" i="47"/>
  <c r="AO660" i="47"/>
  <c r="A660" i="47"/>
  <c r="BA659" i="47"/>
  <c r="AZ659" i="47"/>
  <c r="AO659" i="47"/>
  <c r="A659" i="47"/>
  <c r="BA658" i="47"/>
  <c r="AZ658" i="47"/>
  <c r="AO658" i="47"/>
  <c r="A658" i="47"/>
  <c r="BA657" i="47"/>
  <c r="AZ657" i="47"/>
  <c r="AO657" i="47"/>
  <c r="A657" i="47"/>
  <c r="BA656" i="47"/>
  <c r="AZ656" i="47"/>
  <c r="AO656" i="47"/>
  <c r="A656" i="47"/>
  <c r="BA655" i="47"/>
  <c r="AZ655" i="47"/>
  <c r="AO655" i="47"/>
  <c r="A655" i="47"/>
  <c r="BA654" i="47"/>
  <c r="AZ654" i="47"/>
  <c r="AO654" i="47"/>
  <c r="A654" i="47"/>
  <c r="BA653" i="47"/>
  <c r="AZ653" i="47"/>
  <c r="AO653" i="47"/>
  <c r="A653" i="47"/>
  <c r="BA652" i="47"/>
  <c r="AZ652" i="47"/>
  <c r="AO652" i="47"/>
  <c r="A652" i="47"/>
  <c r="BA651" i="47"/>
  <c r="AZ651" i="47"/>
  <c r="AO651" i="47"/>
  <c r="A651" i="47"/>
  <c r="BA650" i="47"/>
  <c r="AZ650" i="47"/>
  <c r="AO650" i="47"/>
  <c r="A650" i="47"/>
  <c r="BA649" i="47"/>
  <c r="AZ649" i="47"/>
  <c r="AO649" i="47"/>
  <c r="A649" i="47"/>
  <c r="BA648" i="47"/>
  <c r="AZ648" i="47"/>
  <c r="AO648" i="47"/>
  <c r="A648" i="47"/>
  <c r="BA647" i="47"/>
  <c r="AZ647" i="47"/>
  <c r="AO647" i="47"/>
  <c r="A647" i="47"/>
  <c r="BA646" i="47"/>
  <c r="AZ646" i="47"/>
  <c r="AO646" i="47"/>
  <c r="A646" i="47"/>
  <c r="BA645" i="47"/>
  <c r="AZ645" i="47"/>
  <c r="AO645" i="47"/>
  <c r="A645" i="47"/>
  <c r="BA644" i="47"/>
  <c r="AZ644" i="47"/>
  <c r="AO644" i="47"/>
  <c r="A644" i="47"/>
  <c r="BA643" i="47"/>
  <c r="AZ643" i="47"/>
  <c r="AO643" i="47"/>
  <c r="A643" i="47"/>
  <c r="BA642" i="47"/>
  <c r="AZ642" i="47"/>
  <c r="AO642" i="47"/>
  <c r="A642" i="47"/>
  <c r="BA641" i="47"/>
  <c r="AZ641" i="47"/>
  <c r="AO641" i="47"/>
  <c r="A641" i="47"/>
  <c r="BA640" i="47"/>
  <c r="AZ640" i="47"/>
  <c r="AO640" i="47"/>
  <c r="A640" i="47"/>
  <c r="BA639" i="47"/>
  <c r="AZ639" i="47"/>
  <c r="AO639" i="47"/>
  <c r="A639" i="47"/>
  <c r="BA638" i="47"/>
  <c r="AZ638" i="47"/>
  <c r="AO638" i="47"/>
  <c r="A638" i="47"/>
  <c r="BA637" i="47"/>
  <c r="AZ637" i="47"/>
  <c r="AO637" i="47"/>
  <c r="A637" i="47"/>
  <c r="BA636" i="47"/>
  <c r="AZ636" i="47"/>
  <c r="AO636" i="47"/>
  <c r="A636" i="47"/>
  <c r="BA635" i="47"/>
  <c r="AZ635" i="47"/>
  <c r="AO635" i="47"/>
  <c r="A635" i="47"/>
  <c r="BA634" i="47"/>
  <c r="AZ634" i="47"/>
  <c r="AO634" i="47"/>
  <c r="A634" i="47"/>
  <c r="BA633" i="47"/>
  <c r="AZ633" i="47"/>
  <c r="AO633" i="47"/>
  <c r="A633" i="47"/>
  <c r="BA632" i="47"/>
  <c r="AZ632" i="47"/>
  <c r="AO632" i="47"/>
  <c r="A632" i="47"/>
  <c r="BA631" i="47"/>
  <c r="AZ631" i="47"/>
  <c r="AO631" i="47"/>
  <c r="A631" i="47"/>
  <c r="BA630" i="47"/>
  <c r="AZ630" i="47"/>
  <c r="AO630" i="47"/>
  <c r="A630" i="47"/>
  <c r="BA629" i="47"/>
  <c r="AZ629" i="47"/>
  <c r="AO629" i="47"/>
  <c r="A629" i="47"/>
  <c r="BA628" i="47"/>
  <c r="AZ628" i="47"/>
  <c r="AO628" i="47"/>
  <c r="A628" i="47"/>
  <c r="BA627" i="47"/>
  <c r="AZ627" i="47"/>
  <c r="AO627" i="47"/>
  <c r="A627" i="47"/>
  <c r="BA626" i="47"/>
  <c r="AZ626" i="47"/>
  <c r="AO626" i="47"/>
  <c r="A626" i="47"/>
  <c r="BA625" i="47"/>
  <c r="AZ625" i="47"/>
  <c r="AO625" i="47"/>
  <c r="A625" i="47"/>
  <c r="BA624" i="47"/>
  <c r="AZ624" i="47"/>
  <c r="AO624" i="47"/>
  <c r="A624" i="47"/>
  <c r="BA623" i="47"/>
  <c r="AZ623" i="47"/>
  <c r="AO623" i="47"/>
  <c r="A623" i="47"/>
  <c r="BA622" i="47"/>
  <c r="AZ622" i="47"/>
  <c r="AO622" i="47"/>
  <c r="A622" i="47"/>
  <c r="BA621" i="47"/>
  <c r="AZ621" i="47"/>
  <c r="AO621" i="47"/>
  <c r="A621" i="47"/>
  <c r="BA620" i="47"/>
  <c r="AZ620" i="47"/>
  <c r="AO620" i="47"/>
  <c r="A620" i="47"/>
  <c r="BA619" i="47"/>
  <c r="AZ619" i="47"/>
  <c r="AO619" i="47"/>
  <c r="A619" i="47"/>
  <c r="BA618" i="47"/>
  <c r="AZ618" i="47"/>
  <c r="AO618" i="47"/>
  <c r="A618" i="47"/>
  <c r="BA617" i="47"/>
  <c r="AZ617" i="47"/>
  <c r="AO617" i="47"/>
  <c r="A617" i="47"/>
  <c r="BA616" i="47"/>
  <c r="AZ616" i="47"/>
  <c r="AO616" i="47"/>
  <c r="A616" i="47"/>
  <c r="BA615" i="47"/>
  <c r="AZ615" i="47"/>
  <c r="AO615" i="47"/>
  <c r="A615" i="47"/>
  <c r="BA614" i="47"/>
  <c r="AZ614" i="47"/>
  <c r="AO614" i="47"/>
  <c r="A614" i="47"/>
  <c r="BA613" i="47"/>
  <c r="AZ613" i="47"/>
  <c r="AO613" i="47"/>
  <c r="A613" i="47"/>
  <c r="BA612" i="47"/>
  <c r="AZ612" i="47"/>
  <c r="AO612" i="47"/>
  <c r="A612" i="47"/>
  <c r="BA611" i="47"/>
  <c r="AZ611" i="47"/>
  <c r="AO611" i="47"/>
  <c r="A611" i="47"/>
  <c r="BA610" i="47"/>
  <c r="AZ610" i="47"/>
  <c r="AO610" i="47"/>
  <c r="A610" i="47"/>
  <c r="BA609" i="47"/>
  <c r="AZ609" i="47"/>
  <c r="AO609" i="47"/>
  <c r="A609" i="47"/>
  <c r="BA608" i="47"/>
  <c r="AZ608" i="47"/>
  <c r="AO608" i="47"/>
  <c r="A608" i="47"/>
  <c r="BA607" i="47"/>
  <c r="AZ607" i="47"/>
  <c r="AO607" i="47"/>
  <c r="A607" i="47"/>
  <c r="BA606" i="47"/>
  <c r="AZ606" i="47"/>
  <c r="AO606" i="47"/>
  <c r="A606" i="47"/>
  <c r="BA605" i="47"/>
  <c r="AZ605" i="47"/>
  <c r="AO605" i="47"/>
  <c r="A605" i="47"/>
  <c r="BA604" i="47"/>
  <c r="AZ604" i="47"/>
  <c r="AO604" i="47"/>
  <c r="A604" i="47"/>
  <c r="BA603" i="47"/>
  <c r="AZ603" i="47"/>
  <c r="AO603" i="47"/>
  <c r="A603" i="47"/>
  <c r="BA602" i="47"/>
  <c r="AZ602" i="47"/>
  <c r="AO602" i="47"/>
  <c r="A602" i="47"/>
  <c r="BA601" i="47"/>
  <c r="AZ601" i="47"/>
  <c r="AO601" i="47"/>
  <c r="A601" i="47"/>
  <c r="BA600" i="47"/>
  <c r="AZ600" i="47"/>
  <c r="AO600" i="47"/>
  <c r="A600" i="47"/>
  <c r="BA599" i="47"/>
  <c r="AZ599" i="47"/>
  <c r="AO599" i="47"/>
  <c r="A599" i="47"/>
  <c r="BA598" i="47"/>
  <c r="AZ598" i="47"/>
  <c r="AO598" i="47"/>
  <c r="A598" i="47"/>
  <c r="BA597" i="47"/>
  <c r="AZ597" i="47"/>
  <c r="AO597" i="47"/>
  <c r="A597" i="47"/>
  <c r="BA596" i="47"/>
  <c r="AZ596" i="47"/>
  <c r="AO596" i="47"/>
  <c r="A596" i="47"/>
  <c r="BA595" i="47"/>
  <c r="AZ595" i="47"/>
  <c r="AO595" i="47"/>
  <c r="A595" i="47"/>
  <c r="BA594" i="47"/>
  <c r="AZ594" i="47"/>
  <c r="AO594" i="47"/>
  <c r="A594" i="47"/>
  <c r="BA593" i="47"/>
  <c r="AZ593" i="47"/>
  <c r="AO593" i="47"/>
  <c r="A593" i="47"/>
  <c r="BA592" i="47"/>
  <c r="AZ592" i="47"/>
  <c r="AO592" i="47"/>
  <c r="A592" i="47"/>
  <c r="BA591" i="47"/>
  <c r="AZ591" i="47"/>
  <c r="AO591" i="47"/>
  <c r="A591" i="47"/>
  <c r="BA590" i="47"/>
  <c r="AZ590" i="47"/>
  <c r="AO590" i="47"/>
  <c r="A590" i="47"/>
  <c r="BA589" i="47"/>
  <c r="AZ589" i="47"/>
  <c r="AO589" i="47"/>
  <c r="A589" i="47"/>
  <c r="BA588" i="47"/>
  <c r="AZ588" i="47"/>
  <c r="AO588" i="47"/>
  <c r="A588" i="47"/>
  <c r="BA587" i="47"/>
  <c r="AZ587" i="47"/>
  <c r="AO587" i="47"/>
  <c r="A587" i="47"/>
  <c r="BA586" i="47"/>
  <c r="AZ586" i="47"/>
  <c r="AO586" i="47"/>
  <c r="A586" i="47"/>
  <c r="BA585" i="47"/>
  <c r="AZ585" i="47"/>
  <c r="AO585" i="47"/>
  <c r="A585" i="47"/>
  <c r="BA584" i="47"/>
  <c r="AZ584" i="47"/>
  <c r="AO584" i="47"/>
  <c r="A584" i="47"/>
  <c r="BA583" i="47"/>
  <c r="AZ583" i="47"/>
  <c r="AO583" i="47"/>
  <c r="A583" i="47"/>
  <c r="BA582" i="47"/>
  <c r="AZ582" i="47"/>
  <c r="AO582" i="47"/>
  <c r="A582" i="47"/>
  <c r="BA581" i="47"/>
  <c r="AZ581" i="47"/>
  <c r="AO581" i="47"/>
  <c r="A581" i="47"/>
  <c r="BA580" i="47"/>
  <c r="AZ580" i="47"/>
  <c r="AO580" i="47"/>
  <c r="A580" i="47"/>
  <c r="BA579" i="47"/>
  <c r="AZ579" i="47"/>
  <c r="AO579" i="47"/>
  <c r="A579" i="47"/>
  <c r="BA578" i="47"/>
  <c r="AZ578" i="47"/>
  <c r="AO578" i="47"/>
  <c r="A578" i="47"/>
  <c r="BA577" i="47"/>
  <c r="AZ577" i="47"/>
  <c r="AO577" i="47"/>
  <c r="A577" i="47"/>
  <c r="BA576" i="47"/>
  <c r="AZ576" i="47"/>
  <c r="AO576" i="47"/>
  <c r="A576" i="47"/>
  <c r="BA575" i="47"/>
  <c r="AZ575" i="47"/>
  <c r="AO575" i="47"/>
  <c r="A575" i="47"/>
  <c r="BA574" i="47"/>
  <c r="AZ574" i="47"/>
  <c r="AO574" i="47"/>
  <c r="A574" i="47"/>
  <c r="BA573" i="47"/>
  <c r="AZ573" i="47"/>
  <c r="AO573" i="47"/>
  <c r="A573" i="47"/>
  <c r="BA572" i="47"/>
  <c r="AZ572" i="47"/>
  <c r="AO572" i="47"/>
  <c r="A572" i="47"/>
  <c r="BA571" i="47"/>
  <c r="AZ571" i="47"/>
  <c r="AO571" i="47"/>
  <c r="A571" i="47"/>
  <c r="BA570" i="47"/>
  <c r="AZ570" i="47"/>
  <c r="AO570" i="47"/>
  <c r="A570" i="47"/>
  <c r="BA569" i="47"/>
  <c r="AZ569" i="47"/>
  <c r="AO569" i="47"/>
  <c r="A569" i="47"/>
  <c r="BA568" i="47"/>
  <c r="AZ568" i="47"/>
  <c r="AO568" i="47"/>
  <c r="A568" i="47"/>
  <c r="BA567" i="47"/>
  <c r="AZ567" i="47"/>
  <c r="AO567" i="47"/>
  <c r="A567" i="47"/>
  <c r="BA566" i="47"/>
  <c r="AZ566" i="47"/>
  <c r="AO566" i="47"/>
  <c r="A566" i="47"/>
  <c r="BA565" i="47"/>
  <c r="AZ565" i="47"/>
  <c r="AO565" i="47"/>
  <c r="A565" i="47"/>
  <c r="BA564" i="47"/>
  <c r="AZ564" i="47"/>
  <c r="AO564" i="47"/>
  <c r="A564" i="47"/>
  <c r="BA563" i="47"/>
  <c r="AZ563" i="47"/>
  <c r="AO563" i="47"/>
  <c r="A563" i="47"/>
  <c r="BA562" i="47"/>
  <c r="AZ562" i="47"/>
  <c r="AO562" i="47"/>
  <c r="A562" i="47"/>
  <c r="BA561" i="47"/>
  <c r="AZ561" i="47"/>
  <c r="AO561" i="47"/>
  <c r="A561" i="47"/>
  <c r="BA560" i="47"/>
  <c r="AZ560" i="47"/>
  <c r="AO560" i="47"/>
  <c r="A560" i="47"/>
  <c r="BA559" i="47"/>
  <c r="AZ559" i="47"/>
  <c r="AO559" i="47"/>
  <c r="A559" i="47"/>
  <c r="BA558" i="47"/>
  <c r="AZ558" i="47"/>
  <c r="AO558" i="47"/>
  <c r="A558" i="47"/>
  <c r="BA557" i="47"/>
  <c r="AZ557" i="47"/>
  <c r="AO557" i="47"/>
  <c r="A557" i="47"/>
  <c r="BA556" i="47"/>
  <c r="AZ556" i="47"/>
  <c r="AO556" i="47"/>
  <c r="A556" i="47"/>
  <c r="BA555" i="47"/>
  <c r="AZ555" i="47"/>
  <c r="AO555" i="47"/>
  <c r="A555" i="47"/>
  <c r="BA554" i="47"/>
  <c r="AZ554" i="47"/>
  <c r="AO554" i="47"/>
  <c r="A554" i="47"/>
  <c r="BA553" i="47"/>
  <c r="AZ553" i="47"/>
  <c r="AO553" i="47"/>
  <c r="A553" i="47"/>
  <c r="BA552" i="47"/>
  <c r="AZ552" i="47"/>
  <c r="AO552" i="47"/>
  <c r="A552" i="47"/>
  <c r="BA551" i="47"/>
  <c r="AZ551" i="47"/>
  <c r="AO551" i="47"/>
  <c r="A551" i="47"/>
  <c r="BA550" i="47"/>
  <c r="AZ550" i="47"/>
  <c r="AO550" i="47"/>
  <c r="A550" i="47"/>
  <c r="BA549" i="47"/>
  <c r="AZ549" i="47"/>
  <c r="AO549" i="47"/>
  <c r="A549" i="47"/>
  <c r="BA548" i="47"/>
  <c r="AZ548" i="47"/>
  <c r="AO548" i="47"/>
  <c r="A548" i="47"/>
  <c r="BA547" i="47"/>
  <c r="AZ547" i="47"/>
  <c r="AO547" i="47"/>
  <c r="A547" i="47"/>
  <c r="BA546" i="47"/>
  <c r="AZ546" i="47"/>
  <c r="AO546" i="47"/>
  <c r="A546" i="47"/>
  <c r="BA545" i="47"/>
  <c r="AZ545" i="47"/>
  <c r="AO545" i="47"/>
  <c r="A545" i="47"/>
  <c r="BA544" i="47"/>
  <c r="AZ544" i="47"/>
  <c r="AO544" i="47"/>
  <c r="A544" i="47"/>
  <c r="BA543" i="47"/>
  <c r="AZ543" i="47"/>
  <c r="AO543" i="47"/>
  <c r="A543" i="47"/>
  <c r="BA542" i="47"/>
  <c r="AZ542" i="47"/>
  <c r="AO542" i="47"/>
  <c r="A542" i="47"/>
  <c r="BA541" i="47"/>
  <c r="AZ541" i="47"/>
  <c r="AO541" i="47"/>
  <c r="A541" i="47"/>
  <c r="BA540" i="47"/>
  <c r="AZ540" i="47"/>
  <c r="AO540" i="47"/>
  <c r="A540" i="47"/>
  <c r="BA539" i="47"/>
  <c r="AZ539" i="47"/>
  <c r="AO539" i="47"/>
  <c r="A539" i="47"/>
  <c r="BA538" i="47"/>
  <c r="AZ538" i="47"/>
  <c r="AO538" i="47"/>
  <c r="A538" i="47"/>
  <c r="BA537" i="47"/>
  <c r="AZ537" i="47"/>
  <c r="AO537" i="47"/>
  <c r="A537" i="47"/>
  <c r="BA536" i="47"/>
  <c r="AZ536" i="47"/>
  <c r="AO536" i="47"/>
  <c r="A536" i="47"/>
  <c r="BA535" i="47"/>
  <c r="AZ535" i="47"/>
  <c r="AO535" i="47"/>
  <c r="A535" i="47"/>
  <c r="BA534" i="47"/>
  <c r="AZ534" i="47"/>
  <c r="AO534" i="47"/>
  <c r="A534" i="47"/>
  <c r="BA533" i="47"/>
  <c r="AZ533" i="47"/>
  <c r="AO533" i="47"/>
  <c r="A533" i="47"/>
  <c r="BA532" i="47"/>
  <c r="AZ532" i="47"/>
  <c r="AO532" i="47"/>
  <c r="A532" i="47"/>
  <c r="BA531" i="47"/>
  <c r="AZ531" i="47"/>
  <c r="AO531" i="47"/>
  <c r="A531" i="47"/>
  <c r="BA530" i="47"/>
  <c r="AZ530" i="47"/>
  <c r="AO530" i="47"/>
  <c r="A530" i="47"/>
  <c r="BA529" i="47"/>
  <c r="AZ529" i="47"/>
  <c r="AO529" i="47"/>
  <c r="A529" i="47"/>
  <c r="BA528" i="47"/>
  <c r="AZ528" i="47"/>
  <c r="AO528" i="47"/>
  <c r="A528" i="47"/>
  <c r="BA527" i="47"/>
  <c r="AZ527" i="47"/>
  <c r="AO527" i="47"/>
  <c r="A527" i="47"/>
  <c r="BA526" i="47"/>
  <c r="AZ526" i="47"/>
  <c r="AO526" i="47"/>
  <c r="A526" i="47"/>
  <c r="BA525" i="47"/>
  <c r="AZ525" i="47"/>
  <c r="AO525" i="47"/>
  <c r="A525" i="47"/>
  <c r="BA524" i="47"/>
  <c r="AZ524" i="47"/>
  <c r="AO524" i="47"/>
  <c r="A524" i="47"/>
  <c r="BA523" i="47"/>
  <c r="AZ523" i="47"/>
  <c r="AO523" i="47"/>
  <c r="A523" i="47"/>
  <c r="BA522" i="47"/>
  <c r="AZ522" i="47"/>
  <c r="AO522" i="47"/>
  <c r="A522" i="47"/>
  <c r="BA521" i="47"/>
  <c r="AZ521" i="47"/>
  <c r="AO521" i="47"/>
  <c r="A521" i="47"/>
  <c r="BA520" i="47"/>
  <c r="AZ520" i="47"/>
  <c r="AO520" i="47"/>
  <c r="A520" i="47"/>
  <c r="BA519" i="47"/>
  <c r="AZ519" i="47"/>
  <c r="AO519" i="47"/>
  <c r="A519" i="47"/>
  <c r="BA518" i="47"/>
  <c r="AZ518" i="47"/>
  <c r="AO518" i="47"/>
  <c r="A518" i="47"/>
  <c r="BA517" i="47"/>
  <c r="AZ517" i="47"/>
  <c r="AO517" i="47"/>
  <c r="A517" i="47"/>
  <c r="BA516" i="47"/>
  <c r="AZ516" i="47"/>
  <c r="AO516" i="47"/>
  <c r="A516" i="47"/>
  <c r="BA515" i="47"/>
  <c r="AZ515" i="47"/>
  <c r="AO515" i="47"/>
  <c r="A515" i="47"/>
  <c r="BA514" i="47"/>
  <c r="AZ514" i="47"/>
  <c r="AO514" i="47"/>
  <c r="A514" i="47"/>
  <c r="BA513" i="47"/>
  <c r="AZ513" i="47"/>
  <c r="AO513" i="47"/>
  <c r="A513" i="47"/>
  <c r="BA512" i="47"/>
  <c r="AZ512" i="47"/>
  <c r="AO512" i="47"/>
  <c r="A512" i="47"/>
  <c r="BA511" i="47"/>
  <c r="AZ511" i="47"/>
  <c r="AO511" i="47"/>
  <c r="A511" i="47"/>
  <c r="BA510" i="47"/>
  <c r="AZ510" i="47"/>
  <c r="AO510" i="47"/>
  <c r="A510" i="47"/>
  <c r="BA509" i="47"/>
  <c r="AZ509" i="47"/>
  <c r="AO509" i="47"/>
  <c r="A509" i="47"/>
  <c r="BA508" i="47"/>
  <c r="AZ508" i="47"/>
  <c r="AO508" i="47"/>
  <c r="A508" i="47"/>
  <c r="BA507" i="47"/>
  <c r="AZ507" i="47"/>
  <c r="AO507" i="47"/>
  <c r="A507" i="47"/>
  <c r="BA506" i="47"/>
  <c r="AZ506" i="47"/>
  <c r="AO506" i="47"/>
  <c r="A506" i="47"/>
  <c r="BA505" i="47"/>
  <c r="AZ505" i="47"/>
  <c r="AO505" i="47"/>
  <c r="A505" i="47"/>
  <c r="BA504" i="47"/>
  <c r="AZ504" i="47"/>
  <c r="AO504" i="47"/>
  <c r="A504" i="47"/>
  <c r="BA503" i="47"/>
  <c r="AZ503" i="47"/>
  <c r="AO503" i="47"/>
  <c r="A503" i="47"/>
  <c r="BA502" i="47"/>
  <c r="AZ502" i="47"/>
  <c r="AO502" i="47"/>
  <c r="A502" i="47"/>
  <c r="BA501" i="47"/>
  <c r="AZ501" i="47"/>
  <c r="AO501" i="47"/>
  <c r="A501" i="47"/>
  <c r="BA500" i="47"/>
  <c r="AZ500" i="47"/>
  <c r="AO500" i="47"/>
  <c r="A500" i="47"/>
  <c r="BA499" i="47"/>
  <c r="AZ499" i="47"/>
  <c r="AO499" i="47"/>
  <c r="A499" i="47"/>
  <c r="BA498" i="47"/>
  <c r="AZ498" i="47"/>
  <c r="AO498" i="47"/>
  <c r="A498" i="47"/>
  <c r="BA497" i="47"/>
  <c r="AZ497" i="47"/>
  <c r="AO497" i="47"/>
  <c r="A497" i="47"/>
  <c r="BA496" i="47"/>
  <c r="AZ496" i="47"/>
  <c r="AO496" i="47"/>
  <c r="A496" i="47"/>
  <c r="BA495" i="47"/>
  <c r="AZ495" i="47"/>
  <c r="AO495" i="47"/>
  <c r="A495" i="47"/>
  <c r="BA494" i="47"/>
  <c r="AZ494" i="47"/>
  <c r="AO494" i="47"/>
  <c r="A494" i="47"/>
  <c r="BA493" i="47"/>
  <c r="AZ493" i="47"/>
  <c r="AO493" i="47"/>
  <c r="A493" i="47"/>
  <c r="BA492" i="47"/>
  <c r="AZ492" i="47"/>
  <c r="AO492" i="47"/>
  <c r="A492" i="47"/>
  <c r="BA491" i="47"/>
  <c r="AZ491" i="47"/>
  <c r="AO491" i="47"/>
  <c r="A491" i="47"/>
  <c r="BA490" i="47"/>
  <c r="AZ490" i="47"/>
  <c r="AO490" i="47"/>
  <c r="A490" i="47"/>
  <c r="BA489" i="47"/>
  <c r="AZ489" i="47"/>
  <c r="AO489" i="47"/>
  <c r="A489" i="47"/>
  <c r="BA488" i="47"/>
  <c r="AZ488" i="47"/>
  <c r="AO488" i="47"/>
  <c r="A488" i="47"/>
  <c r="BA487" i="47"/>
  <c r="AZ487" i="47"/>
  <c r="AO487" i="47"/>
  <c r="A487" i="47"/>
  <c r="BA486" i="47"/>
  <c r="AZ486" i="47"/>
  <c r="AO486" i="47"/>
  <c r="A486" i="47"/>
  <c r="BA485" i="47"/>
  <c r="AZ485" i="47"/>
  <c r="AO485" i="47"/>
  <c r="A485" i="47"/>
  <c r="BA484" i="47"/>
  <c r="AZ484" i="47"/>
  <c r="AO484" i="47"/>
  <c r="A484" i="47"/>
  <c r="BA483" i="47"/>
  <c r="AZ483" i="47"/>
  <c r="AO483" i="47"/>
  <c r="A483" i="47"/>
  <c r="BA482" i="47"/>
  <c r="AZ482" i="47"/>
  <c r="AO482" i="47"/>
  <c r="A482" i="47"/>
  <c r="BA481" i="47"/>
  <c r="AZ481" i="47"/>
  <c r="AO481" i="47"/>
  <c r="A481" i="47"/>
  <c r="BA480" i="47"/>
  <c r="AZ480" i="47"/>
  <c r="AO480" i="47"/>
  <c r="A480" i="47"/>
  <c r="BA479" i="47"/>
  <c r="AZ479" i="47"/>
  <c r="AO479" i="47"/>
  <c r="A479" i="47"/>
  <c r="BA478" i="47"/>
  <c r="AZ478" i="47"/>
  <c r="AO478" i="47"/>
  <c r="A478" i="47"/>
  <c r="BA477" i="47"/>
  <c r="AZ477" i="47"/>
  <c r="AO477" i="47"/>
  <c r="A477" i="47"/>
  <c r="BA476" i="47"/>
  <c r="AZ476" i="47"/>
  <c r="AO476" i="47"/>
  <c r="A476" i="47"/>
  <c r="BA475" i="47"/>
  <c r="AZ475" i="47"/>
  <c r="AO475" i="47"/>
  <c r="A475" i="47"/>
  <c r="BA474" i="47"/>
  <c r="AZ474" i="47"/>
  <c r="AO474" i="47"/>
  <c r="A474" i="47"/>
  <c r="BA473" i="47"/>
  <c r="AZ473" i="47"/>
  <c r="AO473" i="47"/>
  <c r="A473" i="47"/>
  <c r="BA472" i="47"/>
  <c r="AZ472" i="47"/>
  <c r="AO472" i="47"/>
  <c r="A472" i="47"/>
  <c r="BA471" i="47"/>
  <c r="AZ471" i="47"/>
  <c r="AO471" i="47"/>
  <c r="A471" i="47"/>
  <c r="BA470" i="47"/>
  <c r="AZ470" i="47"/>
  <c r="AO470" i="47"/>
  <c r="A470" i="47"/>
  <c r="BA469" i="47"/>
  <c r="AZ469" i="47"/>
  <c r="AO469" i="47"/>
  <c r="A469" i="47"/>
  <c r="BA468" i="47"/>
  <c r="AZ468" i="47"/>
  <c r="AO468" i="47"/>
  <c r="A468" i="47"/>
  <c r="BA467" i="47"/>
  <c r="AZ467" i="47"/>
  <c r="AO467" i="47"/>
  <c r="A467" i="47"/>
  <c r="BA466" i="47"/>
  <c r="AZ466" i="47"/>
  <c r="AO466" i="47"/>
  <c r="A466" i="47"/>
  <c r="BA465" i="47"/>
  <c r="AZ465" i="47"/>
  <c r="AO465" i="47"/>
  <c r="A465" i="47"/>
  <c r="BA464" i="47"/>
  <c r="AZ464" i="47"/>
  <c r="AO464" i="47"/>
  <c r="A464" i="47"/>
  <c r="BA463" i="47"/>
  <c r="AZ463" i="47"/>
  <c r="AO463" i="47"/>
  <c r="A463" i="47"/>
  <c r="BA462" i="47"/>
  <c r="AZ462" i="47"/>
  <c r="AO462" i="47"/>
  <c r="A462" i="47"/>
  <c r="BA461" i="47"/>
  <c r="AZ461" i="47"/>
  <c r="AO461" i="47"/>
  <c r="A461" i="47"/>
  <c r="BA460" i="47"/>
  <c r="AZ460" i="47"/>
  <c r="AO460" i="47"/>
  <c r="A460" i="47"/>
  <c r="BA459" i="47"/>
  <c r="AZ459" i="47"/>
  <c r="AO459" i="47"/>
  <c r="A459" i="47"/>
  <c r="BA458" i="47"/>
  <c r="AZ458" i="47"/>
  <c r="AO458" i="47"/>
  <c r="A458" i="47"/>
  <c r="BA457" i="47"/>
  <c r="AZ457" i="47"/>
  <c r="AO457" i="47"/>
  <c r="A457" i="47"/>
  <c r="BA456" i="47"/>
  <c r="AZ456" i="47"/>
  <c r="AO456" i="47"/>
  <c r="A456" i="47"/>
  <c r="BA455" i="47"/>
  <c r="AZ455" i="47"/>
  <c r="AO455" i="47"/>
  <c r="A455" i="47"/>
  <c r="BA454" i="47"/>
  <c r="AZ454" i="47"/>
  <c r="AO454" i="47"/>
  <c r="A454" i="47"/>
  <c r="BA453" i="47"/>
  <c r="AZ453" i="47"/>
  <c r="AO453" i="47"/>
  <c r="A453" i="47"/>
  <c r="BA452" i="47"/>
  <c r="AZ452" i="47"/>
  <c r="AO452" i="47"/>
  <c r="A452" i="47"/>
  <c r="BA451" i="47"/>
  <c r="AZ451" i="47"/>
  <c r="AO451" i="47"/>
  <c r="A451" i="47"/>
  <c r="BA450" i="47"/>
  <c r="AZ450" i="47"/>
  <c r="AO450" i="47"/>
  <c r="A450" i="47"/>
  <c r="BA449" i="47"/>
  <c r="AZ449" i="47"/>
  <c r="AO449" i="47"/>
  <c r="A449" i="47"/>
  <c r="BA448" i="47"/>
  <c r="AZ448" i="47"/>
  <c r="AO448" i="47"/>
  <c r="A448" i="47"/>
  <c r="BA447" i="47"/>
  <c r="AZ447" i="47"/>
  <c r="AO447" i="47"/>
  <c r="A447" i="47"/>
  <c r="BA446" i="47"/>
  <c r="AZ446" i="47"/>
  <c r="AO446" i="47"/>
  <c r="A446" i="47"/>
  <c r="BA445" i="47"/>
  <c r="AZ445" i="47"/>
  <c r="AO445" i="47"/>
  <c r="A445" i="47"/>
  <c r="BA444" i="47"/>
  <c r="AZ444" i="47"/>
  <c r="AO444" i="47"/>
  <c r="A444" i="47"/>
  <c r="BA443" i="47"/>
  <c r="AZ443" i="47"/>
  <c r="AO443" i="47"/>
  <c r="A443" i="47"/>
  <c r="BA442" i="47"/>
  <c r="AZ442" i="47"/>
  <c r="AO442" i="47"/>
  <c r="A442" i="47"/>
  <c r="BA441" i="47"/>
  <c r="AZ441" i="47"/>
  <c r="AO441" i="47"/>
  <c r="A441" i="47"/>
  <c r="BA440" i="47"/>
  <c r="AZ440" i="47"/>
  <c r="AO440" i="47"/>
  <c r="A440" i="47"/>
  <c r="BA439" i="47"/>
  <c r="AZ439" i="47"/>
  <c r="AO439" i="47"/>
  <c r="A439" i="47"/>
  <c r="BA438" i="47"/>
  <c r="AZ438" i="47"/>
  <c r="AO438" i="47"/>
  <c r="A438" i="47"/>
  <c r="BA437" i="47"/>
  <c r="AZ437" i="47"/>
  <c r="AO437" i="47"/>
  <c r="A437" i="47"/>
  <c r="BA436" i="47"/>
  <c r="AZ436" i="47"/>
  <c r="AO436" i="47"/>
  <c r="A436" i="47"/>
  <c r="BA435" i="47"/>
  <c r="AZ435" i="47"/>
  <c r="AO435" i="47"/>
  <c r="A435" i="47"/>
  <c r="BA434" i="47"/>
  <c r="AZ434" i="47"/>
  <c r="AO434" i="47"/>
  <c r="A434" i="47"/>
  <c r="BA433" i="47"/>
  <c r="AZ433" i="47"/>
  <c r="AO433" i="47"/>
  <c r="A433" i="47"/>
  <c r="BA432" i="47"/>
  <c r="AZ432" i="47"/>
  <c r="AO432" i="47"/>
  <c r="A432" i="47"/>
  <c r="BA431" i="47"/>
  <c r="AZ431" i="47"/>
  <c r="AO431" i="47"/>
  <c r="A431" i="47"/>
  <c r="BA430" i="47"/>
  <c r="AZ430" i="47"/>
  <c r="AO430" i="47"/>
  <c r="A430" i="47"/>
  <c r="BA429" i="47"/>
  <c r="AZ429" i="47"/>
  <c r="AO429" i="47"/>
  <c r="A429" i="47"/>
  <c r="BA428" i="47"/>
  <c r="AZ428" i="47"/>
  <c r="AO428" i="47"/>
  <c r="A428" i="47"/>
  <c r="BA427" i="47"/>
  <c r="AZ427" i="47"/>
  <c r="AO427" i="47"/>
  <c r="A427" i="47"/>
  <c r="BA426" i="47"/>
  <c r="AZ426" i="47"/>
  <c r="AO426" i="47"/>
  <c r="A426" i="47"/>
  <c r="BA425" i="47"/>
  <c r="AZ425" i="47"/>
  <c r="AO425" i="47"/>
  <c r="A425" i="47"/>
  <c r="BA424" i="47"/>
  <c r="AZ424" i="47"/>
  <c r="AO424" i="47"/>
  <c r="A424" i="47"/>
  <c r="BA423" i="47"/>
  <c r="AZ423" i="47"/>
  <c r="AO423" i="47"/>
  <c r="A423" i="47"/>
  <c r="BA422" i="47"/>
  <c r="AZ422" i="47"/>
  <c r="AO422" i="47"/>
  <c r="A422" i="47"/>
  <c r="BA421" i="47"/>
  <c r="AZ421" i="47"/>
  <c r="AO421" i="47"/>
  <c r="A421" i="47"/>
  <c r="BA420" i="47"/>
  <c r="AZ420" i="47"/>
  <c r="AO420" i="47"/>
  <c r="A420" i="47"/>
  <c r="BA419" i="47"/>
  <c r="AZ419" i="47"/>
  <c r="AO419" i="47"/>
  <c r="A419" i="47"/>
  <c r="BA418" i="47"/>
  <c r="AZ418" i="47"/>
  <c r="AO418" i="47"/>
  <c r="A418" i="47"/>
  <c r="BA417" i="47"/>
  <c r="AZ417" i="47"/>
  <c r="AO417" i="47"/>
  <c r="A417" i="47"/>
  <c r="BA416" i="47"/>
  <c r="AZ416" i="47"/>
  <c r="AO416" i="47"/>
  <c r="A416" i="47"/>
  <c r="BA415" i="47"/>
  <c r="AZ415" i="47"/>
  <c r="AO415" i="47"/>
  <c r="A415" i="47"/>
  <c r="BA414" i="47"/>
  <c r="AZ414" i="47"/>
  <c r="AO414" i="47"/>
  <c r="A414" i="47"/>
  <c r="BA413" i="47"/>
  <c r="AZ413" i="47"/>
  <c r="AO413" i="47"/>
  <c r="A413" i="47"/>
  <c r="BA412" i="47"/>
  <c r="AZ412" i="47"/>
  <c r="AO412" i="47"/>
  <c r="A412" i="47"/>
  <c r="BA411" i="47"/>
  <c r="AZ411" i="47"/>
  <c r="AO411" i="47"/>
  <c r="A411" i="47"/>
  <c r="BA410" i="47"/>
  <c r="AZ410" i="47"/>
  <c r="AO410" i="47"/>
  <c r="A410" i="47"/>
  <c r="BA409" i="47"/>
  <c r="AZ409" i="47"/>
  <c r="AO409" i="47"/>
  <c r="A409" i="47"/>
  <c r="BA408" i="47"/>
  <c r="AZ408" i="47"/>
  <c r="AO408" i="47"/>
  <c r="A408" i="47"/>
  <c r="BA407" i="47"/>
  <c r="AZ407" i="47"/>
  <c r="AO407" i="47"/>
  <c r="A407" i="47"/>
  <c r="BA406" i="47"/>
  <c r="AZ406" i="47"/>
  <c r="AO406" i="47"/>
  <c r="A406" i="47"/>
  <c r="BA405" i="47"/>
  <c r="AZ405" i="47"/>
  <c r="AO405" i="47"/>
  <c r="A405" i="47"/>
  <c r="BA404" i="47"/>
  <c r="AZ404" i="47"/>
  <c r="AO404" i="47"/>
  <c r="A404" i="47"/>
  <c r="BA403" i="47"/>
  <c r="AZ403" i="47"/>
  <c r="AO403" i="47"/>
  <c r="A403" i="47"/>
  <c r="BA402" i="47"/>
  <c r="AZ402" i="47"/>
  <c r="AO402" i="47"/>
  <c r="A402" i="47"/>
  <c r="BA401" i="47"/>
  <c r="AZ401" i="47"/>
  <c r="AO401" i="47"/>
  <c r="A401" i="47"/>
  <c r="BA400" i="47"/>
  <c r="AZ400" i="47"/>
  <c r="AO400" i="47"/>
  <c r="A400" i="47"/>
  <c r="BA399" i="47"/>
  <c r="AZ399" i="47"/>
  <c r="AO399" i="47"/>
  <c r="A399" i="47"/>
  <c r="BA398" i="47"/>
  <c r="AZ398" i="47"/>
  <c r="AO398" i="47"/>
  <c r="A398" i="47"/>
  <c r="BA397" i="47"/>
  <c r="AZ397" i="47"/>
  <c r="AO397" i="47"/>
  <c r="A397" i="47"/>
  <c r="BA396" i="47"/>
  <c r="AZ396" i="47"/>
  <c r="AO396" i="47"/>
  <c r="A396" i="47"/>
  <c r="BA395" i="47"/>
  <c r="AZ395" i="47"/>
  <c r="AO395" i="47"/>
  <c r="A395" i="47"/>
  <c r="BA394" i="47"/>
  <c r="AZ394" i="47"/>
  <c r="AO394" i="47"/>
  <c r="A394" i="47"/>
  <c r="BA393" i="47"/>
  <c r="AZ393" i="47"/>
  <c r="AO393" i="47"/>
  <c r="A393" i="47"/>
  <c r="BA392" i="47"/>
  <c r="AZ392" i="47"/>
  <c r="AO392" i="47"/>
  <c r="A392" i="47"/>
  <c r="BA391" i="47"/>
  <c r="AZ391" i="47"/>
  <c r="AO391" i="47"/>
  <c r="A391" i="47"/>
  <c r="BA390" i="47"/>
  <c r="AZ390" i="47"/>
  <c r="AO390" i="47"/>
  <c r="A390" i="47"/>
  <c r="BA389" i="47"/>
  <c r="AZ389" i="47"/>
  <c r="AO389" i="47"/>
  <c r="A389" i="47"/>
  <c r="BA388" i="47"/>
  <c r="AZ388" i="47"/>
  <c r="AO388" i="47"/>
  <c r="A388" i="47"/>
  <c r="BA387" i="47"/>
  <c r="AZ387" i="47"/>
  <c r="AO387" i="47"/>
  <c r="A387" i="47"/>
  <c r="BA386" i="47"/>
  <c r="AZ386" i="47"/>
  <c r="AO386" i="47"/>
  <c r="A386" i="47"/>
  <c r="BA385" i="47"/>
  <c r="AZ385" i="47"/>
  <c r="AO385" i="47"/>
  <c r="A385" i="47"/>
  <c r="BA384" i="47"/>
  <c r="AZ384" i="47"/>
  <c r="AO384" i="47"/>
  <c r="A384" i="47"/>
  <c r="BA383" i="47"/>
  <c r="AZ383" i="47"/>
  <c r="AO383" i="47"/>
  <c r="A383" i="47"/>
  <c r="BA382" i="47"/>
  <c r="AZ382" i="47"/>
  <c r="AO382" i="47"/>
  <c r="A382" i="47"/>
  <c r="BA381" i="47"/>
  <c r="AZ381" i="47"/>
  <c r="AO381" i="47"/>
  <c r="A381" i="47"/>
  <c r="BA380" i="47"/>
  <c r="AZ380" i="47"/>
  <c r="AO380" i="47"/>
  <c r="A380" i="47"/>
  <c r="BA379" i="47"/>
  <c r="AZ379" i="47"/>
  <c r="AO379" i="47"/>
  <c r="A379" i="47"/>
  <c r="BA378" i="47"/>
  <c r="AZ378" i="47"/>
  <c r="AO378" i="47"/>
  <c r="A378" i="47"/>
  <c r="BA377" i="47"/>
  <c r="AZ377" i="47"/>
  <c r="AO377" i="47"/>
  <c r="A377" i="47"/>
  <c r="BA376" i="47"/>
  <c r="AZ376" i="47"/>
  <c r="AO376" i="47"/>
  <c r="A376" i="47"/>
  <c r="BA375" i="47"/>
  <c r="AZ375" i="47"/>
  <c r="AO375" i="47"/>
  <c r="A375" i="47"/>
  <c r="BA374" i="47"/>
  <c r="AZ374" i="47"/>
  <c r="AO374" i="47"/>
  <c r="A374" i="47"/>
  <c r="BA373" i="47"/>
  <c r="AZ373" i="47"/>
  <c r="AO373" i="47"/>
  <c r="A373" i="47"/>
  <c r="BA372" i="47"/>
  <c r="AZ372" i="47"/>
  <c r="AO372" i="47"/>
  <c r="A372" i="47"/>
  <c r="BA371" i="47"/>
  <c r="AZ371" i="47"/>
  <c r="AO371" i="47"/>
  <c r="A371" i="47"/>
  <c r="BA370" i="47"/>
  <c r="AZ370" i="47"/>
  <c r="AO370" i="47"/>
  <c r="A370" i="47"/>
  <c r="BA369" i="47"/>
  <c r="AZ369" i="47"/>
  <c r="AO369" i="47"/>
  <c r="A369" i="47"/>
  <c r="BA368" i="47"/>
  <c r="AZ368" i="47"/>
  <c r="AO368" i="47"/>
  <c r="A368" i="47"/>
  <c r="BA367" i="47"/>
  <c r="AZ367" i="47"/>
  <c r="AO367" i="47"/>
  <c r="A367" i="47"/>
  <c r="BA366" i="47"/>
  <c r="AZ366" i="47"/>
  <c r="AO366" i="47"/>
  <c r="A366" i="47"/>
  <c r="BA365" i="47"/>
  <c r="AZ365" i="47"/>
  <c r="AO365" i="47"/>
  <c r="A365" i="47"/>
  <c r="BA364" i="47"/>
  <c r="AZ364" i="47"/>
  <c r="AO364" i="47"/>
  <c r="A364" i="47"/>
  <c r="BA363" i="47"/>
  <c r="AZ363" i="47"/>
  <c r="AO363" i="47"/>
  <c r="A363" i="47"/>
  <c r="BA362" i="47"/>
  <c r="AZ362" i="47"/>
  <c r="AO362" i="47"/>
  <c r="A362" i="47"/>
  <c r="BA361" i="47"/>
  <c r="AZ361" i="47"/>
  <c r="AO361" i="47"/>
  <c r="A361" i="47"/>
  <c r="BA360" i="47"/>
  <c r="AZ360" i="47"/>
  <c r="AO360" i="47"/>
  <c r="A360" i="47"/>
  <c r="BA359" i="47"/>
  <c r="AZ359" i="47"/>
  <c r="AO359" i="47"/>
  <c r="A359" i="47"/>
  <c r="BA358" i="47"/>
  <c r="AZ358" i="47"/>
  <c r="AO358" i="47"/>
  <c r="A358" i="47"/>
  <c r="BA357" i="47"/>
  <c r="AZ357" i="47"/>
  <c r="AO357" i="47"/>
  <c r="A357" i="47"/>
  <c r="BA356" i="47"/>
  <c r="AZ356" i="47"/>
  <c r="AO356" i="47"/>
  <c r="A356" i="47"/>
  <c r="BA355" i="47"/>
  <c r="AZ355" i="47"/>
  <c r="AO355" i="47"/>
  <c r="A355" i="47"/>
  <c r="BA354" i="47"/>
  <c r="AZ354" i="47"/>
  <c r="AO354" i="47"/>
  <c r="A354" i="47"/>
  <c r="BA353" i="47"/>
  <c r="AZ353" i="47"/>
  <c r="AO353" i="47"/>
  <c r="A353" i="47"/>
  <c r="BA352" i="47"/>
  <c r="AZ352" i="47"/>
  <c r="AO352" i="47"/>
  <c r="A352" i="47"/>
  <c r="BA351" i="47"/>
  <c r="AZ351" i="47"/>
  <c r="AO351" i="47"/>
  <c r="A351" i="47"/>
  <c r="BA350" i="47"/>
  <c r="AZ350" i="47"/>
  <c r="AO350" i="47"/>
  <c r="A350" i="47"/>
  <c r="BA349" i="47"/>
  <c r="AZ349" i="47"/>
  <c r="AO349" i="47"/>
  <c r="A349" i="47"/>
  <c r="BA348" i="47"/>
  <c r="AZ348" i="47"/>
  <c r="AO348" i="47"/>
  <c r="A348" i="47"/>
  <c r="BA347" i="47"/>
  <c r="AZ347" i="47"/>
  <c r="AO347" i="47"/>
  <c r="A347" i="47"/>
  <c r="BA346" i="47"/>
  <c r="AZ346" i="47"/>
  <c r="AO346" i="47"/>
  <c r="A346" i="47"/>
  <c r="BA345" i="47"/>
  <c r="AZ345" i="47"/>
  <c r="AO345" i="47"/>
  <c r="A345" i="47"/>
  <c r="BA344" i="47"/>
  <c r="AZ344" i="47"/>
  <c r="AO344" i="47"/>
  <c r="A344" i="47"/>
  <c r="BA343" i="47"/>
  <c r="AZ343" i="47"/>
  <c r="AO343" i="47"/>
  <c r="A343" i="47"/>
  <c r="BA342" i="47"/>
  <c r="AZ342" i="47"/>
  <c r="AO342" i="47"/>
  <c r="A342" i="47"/>
  <c r="BA341" i="47"/>
  <c r="AZ341" i="47"/>
  <c r="AO341" i="47"/>
  <c r="A341" i="47"/>
  <c r="BA340" i="47"/>
  <c r="AZ340" i="47"/>
  <c r="AO340" i="47"/>
  <c r="A340" i="47"/>
  <c r="BA339" i="47"/>
  <c r="AZ339" i="47"/>
  <c r="AO339" i="47"/>
  <c r="A339" i="47"/>
  <c r="BA338" i="47"/>
  <c r="AZ338" i="47"/>
  <c r="AO338" i="47"/>
  <c r="A338" i="47"/>
  <c r="BA337" i="47"/>
  <c r="AZ337" i="47"/>
  <c r="AO337" i="47"/>
  <c r="A337" i="47"/>
  <c r="BA336" i="47"/>
  <c r="AZ336" i="47"/>
  <c r="AO336" i="47"/>
  <c r="A336" i="47"/>
  <c r="BA335" i="47"/>
  <c r="AZ335" i="47"/>
  <c r="AO335" i="47"/>
  <c r="A335" i="47"/>
  <c r="BA334" i="47"/>
  <c r="AZ334" i="47"/>
  <c r="AO334" i="47"/>
  <c r="A334" i="47"/>
  <c r="BA333" i="47"/>
  <c r="AZ333" i="47"/>
  <c r="AO333" i="47"/>
  <c r="A333" i="47"/>
  <c r="BA332" i="47"/>
  <c r="AZ332" i="47"/>
  <c r="AO332" i="47"/>
  <c r="A332" i="47"/>
  <c r="BA331" i="47"/>
  <c r="AZ331" i="47"/>
  <c r="AO331" i="47"/>
  <c r="A331" i="47"/>
  <c r="BA330" i="47"/>
  <c r="AZ330" i="47"/>
  <c r="AO330" i="47"/>
  <c r="A330" i="47"/>
  <c r="BA329" i="47"/>
  <c r="AZ329" i="47"/>
  <c r="AO329" i="47"/>
  <c r="A329" i="47"/>
  <c r="BA328" i="47"/>
  <c r="AZ328" i="47"/>
  <c r="AO328" i="47"/>
  <c r="A328" i="47"/>
  <c r="BA327" i="47"/>
  <c r="AZ327" i="47"/>
  <c r="AO327" i="47"/>
  <c r="A327" i="47"/>
  <c r="BA326" i="47"/>
  <c r="AZ326" i="47"/>
  <c r="AO326" i="47"/>
  <c r="A326" i="47"/>
  <c r="BA325" i="47"/>
  <c r="AZ325" i="47"/>
  <c r="AO325" i="47"/>
  <c r="A325" i="47"/>
  <c r="BA324" i="47"/>
  <c r="AZ324" i="47"/>
  <c r="AO324" i="47"/>
  <c r="A324" i="47"/>
  <c r="BA323" i="47"/>
  <c r="AZ323" i="47"/>
  <c r="AO323" i="47"/>
  <c r="A323" i="47"/>
  <c r="BA322" i="47"/>
  <c r="AZ322" i="47"/>
  <c r="AO322" i="47"/>
  <c r="A322" i="47"/>
  <c r="BA321" i="47"/>
  <c r="AZ321" i="47"/>
  <c r="AO321" i="47"/>
  <c r="A321" i="47"/>
  <c r="BA320" i="47"/>
  <c r="AZ320" i="47"/>
  <c r="AO320" i="47"/>
  <c r="A320" i="47"/>
  <c r="BA319" i="47"/>
  <c r="AZ319" i="47"/>
  <c r="AO319" i="47"/>
  <c r="A319" i="47"/>
  <c r="BA318" i="47"/>
  <c r="AZ318" i="47"/>
  <c r="AO318" i="47"/>
  <c r="A318" i="47"/>
  <c r="BA317" i="47"/>
  <c r="AZ317" i="47"/>
  <c r="AO317" i="47"/>
  <c r="A317" i="47"/>
  <c r="BA316" i="47"/>
  <c r="AZ316" i="47"/>
  <c r="AO316" i="47"/>
  <c r="A316" i="47"/>
  <c r="BA315" i="47"/>
  <c r="AZ315" i="47"/>
  <c r="AO315" i="47"/>
  <c r="A315" i="47"/>
  <c r="BA314" i="47"/>
  <c r="AZ314" i="47"/>
  <c r="AO314" i="47"/>
  <c r="A314" i="47"/>
  <c r="BA313" i="47"/>
  <c r="AZ313" i="47"/>
  <c r="AO313" i="47"/>
  <c r="A313" i="47"/>
  <c r="BA312" i="47"/>
  <c r="AZ312" i="47"/>
  <c r="AO312" i="47"/>
  <c r="A312" i="47"/>
  <c r="BA311" i="47"/>
  <c r="AZ311" i="47"/>
  <c r="AO311" i="47"/>
  <c r="A311" i="47"/>
  <c r="BA310" i="47"/>
  <c r="AZ310" i="47"/>
  <c r="AO310" i="47"/>
  <c r="A310" i="47"/>
  <c r="BA309" i="47"/>
  <c r="AZ309" i="47"/>
  <c r="AO309" i="47"/>
  <c r="A309" i="47"/>
  <c r="BA308" i="47"/>
  <c r="AZ308" i="47"/>
  <c r="AO308" i="47"/>
  <c r="A308" i="47"/>
  <c r="BA307" i="47"/>
  <c r="AZ307" i="47"/>
  <c r="AO307" i="47"/>
  <c r="A307" i="47"/>
  <c r="BA306" i="47"/>
  <c r="AZ306" i="47"/>
  <c r="AO306" i="47"/>
  <c r="A306" i="47"/>
  <c r="BA305" i="47"/>
  <c r="AZ305" i="47"/>
  <c r="AO305" i="47"/>
  <c r="A305" i="47"/>
  <c r="BA304" i="47"/>
  <c r="AZ304" i="47"/>
  <c r="AO304" i="47"/>
  <c r="A304" i="47"/>
  <c r="BA303" i="47"/>
  <c r="AZ303" i="47"/>
  <c r="AO303" i="47"/>
  <c r="A303" i="47"/>
  <c r="BA302" i="47"/>
  <c r="AZ302" i="47"/>
  <c r="AO302" i="47"/>
  <c r="A302" i="47"/>
  <c r="BA301" i="47"/>
  <c r="AZ301" i="47"/>
  <c r="AO301" i="47"/>
  <c r="A301" i="47"/>
  <c r="BA300" i="47"/>
  <c r="AZ300" i="47"/>
  <c r="AO300" i="47"/>
  <c r="A300" i="47"/>
  <c r="BA299" i="47"/>
  <c r="AZ299" i="47"/>
  <c r="AO299" i="47"/>
  <c r="A299" i="47"/>
  <c r="BA298" i="47"/>
  <c r="AZ298" i="47"/>
  <c r="AO298" i="47"/>
  <c r="A298" i="47"/>
  <c r="BA297" i="47"/>
  <c r="AZ297" i="47"/>
  <c r="AO297" i="47"/>
  <c r="A297" i="47"/>
  <c r="BA296" i="47"/>
  <c r="AZ296" i="47"/>
  <c r="AO296" i="47"/>
  <c r="A296" i="47"/>
  <c r="BA295" i="47"/>
  <c r="AZ295" i="47"/>
  <c r="AO295" i="47"/>
  <c r="A295" i="47"/>
  <c r="BA294" i="47"/>
  <c r="AZ294" i="47"/>
  <c r="AO294" i="47"/>
  <c r="A294" i="47"/>
  <c r="BA293" i="47"/>
  <c r="AZ293" i="47"/>
  <c r="AO293" i="47"/>
  <c r="A293" i="47"/>
  <c r="BA292" i="47"/>
  <c r="AZ292" i="47"/>
  <c r="AO292" i="47"/>
  <c r="A292" i="47"/>
  <c r="BA291" i="47"/>
  <c r="AZ291" i="47"/>
  <c r="AO291" i="47"/>
  <c r="A291" i="47"/>
  <c r="BA290" i="47"/>
  <c r="AZ290" i="47"/>
  <c r="AO290" i="47"/>
  <c r="A290" i="47"/>
  <c r="BA289" i="47"/>
  <c r="AZ289" i="47"/>
  <c r="AO289" i="47"/>
  <c r="A289" i="47"/>
  <c r="BA288" i="47"/>
  <c r="AZ288" i="47"/>
  <c r="AO288" i="47"/>
  <c r="A288" i="47"/>
  <c r="BA287" i="47"/>
  <c r="AZ287" i="47"/>
  <c r="AO287" i="47"/>
  <c r="A287" i="47"/>
  <c r="BA286" i="47"/>
  <c r="AZ286" i="47"/>
  <c r="AO286" i="47"/>
  <c r="A286" i="47"/>
  <c r="BA285" i="47"/>
  <c r="AZ285" i="47"/>
  <c r="AO285" i="47"/>
  <c r="A285" i="47"/>
  <c r="BA284" i="47"/>
  <c r="AZ284" i="47"/>
  <c r="AO284" i="47"/>
  <c r="A284" i="47"/>
  <c r="BA283" i="47"/>
  <c r="AZ283" i="47"/>
  <c r="AO283" i="47"/>
  <c r="A283" i="47"/>
  <c r="BA282" i="47"/>
  <c r="AZ282" i="47"/>
  <c r="AO282" i="47"/>
  <c r="A282" i="47"/>
  <c r="BA281" i="47"/>
  <c r="AZ281" i="47"/>
  <c r="AO281" i="47"/>
  <c r="A281" i="47"/>
  <c r="BA280" i="47"/>
  <c r="AZ280" i="47"/>
  <c r="AO280" i="47"/>
  <c r="A280" i="47"/>
  <c r="BA279" i="47"/>
  <c r="AZ279" i="47"/>
  <c r="AO279" i="47"/>
  <c r="A279" i="47"/>
  <c r="BA278" i="47"/>
  <c r="AZ278" i="47"/>
  <c r="AO278" i="47"/>
  <c r="A278" i="47"/>
  <c r="BA277" i="47"/>
  <c r="AZ277" i="47"/>
  <c r="AO277" i="47"/>
  <c r="A277" i="47"/>
  <c r="BA276" i="47"/>
  <c r="AZ276" i="47"/>
  <c r="AO276" i="47"/>
  <c r="A276" i="47"/>
  <c r="BA275" i="47"/>
  <c r="AZ275" i="47"/>
  <c r="AO275" i="47"/>
  <c r="A275" i="47"/>
  <c r="BA274" i="47"/>
  <c r="AZ274" i="47"/>
  <c r="AO274" i="47"/>
  <c r="A274" i="47"/>
  <c r="BA273" i="47"/>
  <c r="AZ273" i="47"/>
  <c r="AO273" i="47"/>
  <c r="A273" i="47"/>
  <c r="BA272" i="47"/>
  <c r="AZ272" i="47"/>
  <c r="AO272" i="47"/>
  <c r="A272" i="47"/>
  <c r="BA271" i="47"/>
  <c r="AZ271" i="47"/>
  <c r="AO271" i="47"/>
  <c r="A271" i="47"/>
  <c r="BA270" i="47"/>
  <c r="AZ270" i="47"/>
  <c r="AO270" i="47"/>
  <c r="A270" i="47"/>
  <c r="BA269" i="47"/>
  <c r="AZ269" i="47"/>
  <c r="AO269" i="47"/>
  <c r="A269" i="47"/>
  <c r="BA268" i="47"/>
  <c r="AZ268" i="47"/>
  <c r="AO268" i="47"/>
  <c r="A268" i="47"/>
  <c r="BA267" i="47"/>
  <c r="AZ267" i="47"/>
  <c r="AO267" i="47"/>
  <c r="A267" i="47"/>
  <c r="BA266" i="47"/>
  <c r="AZ266" i="47"/>
  <c r="AO266" i="47"/>
  <c r="A266" i="47"/>
  <c r="BA265" i="47"/>
  <c r="AZ265" i="47"/>
  <c r="AO265" i="47"/>
  <c r="A265" i="47"/>
  <c r="BA264" i="47"/>
  <c r="AZ264" i="47"/>
  <c r="AO264" i="47"/>
  <c r="A264" i="47"/>
  <c r="BA263" i="47"/>
  <c r="AZ263" i="47"/>
  <c r="AO263" i="47"/>
  <c r="A263" i="47"/>
  <c r="BA262" i="47"/>
  <c r="AZ262" i="47"/>
  <c r="AO262" i="47"/>
  <c r="A262" i="47"/>
  <c r="BA261" i="47"/>
  <c r="AZ261" i="47"/>
  <c r="AO261" i="47"/>
  <c r="A261" i="47"/>
  <c r="BA260" i="47"/>
  <c r="AZ260" i="47"/>
  <c r="AO260" i="47"/>
  <c r="A260" i="47"/>
  <c r="BA259" i="47"/>
  <c r="AZ259" i="47"/>
  <c r="AO259" i="47"/>
  <c r="A259" i="47"/>
  <c r="BA258" i="47"/>
  <c r="AZ258" i="47"/>
  <c r="AO258" i="47"/>
  <c r="A258" i="47"/>
  <c r="BA257" i="47"/>
  <c r="AZ257" i="47"/>
  <c r="AO257" i="47"/>
  <c r="A257" i="47"/>
  <c r="BA256" i="47"/>
  <c r="AZ256" i="47"/>
  <c r="AO256" i="47"/>
  <c r="A256" i="47"/>
  <c r="BA255" i="47"/>
  <c r="AZ255" i="47"/>
  <c r="AO255" i="47"/>
  <c r="A255" i="47"/>
  <c r="BA254" i="47"/>
  <c r="AZ254" i="47"/>
  <c r="AO254" i="47"/>
  <c r="A254" i="47"/>
  <c r="BA253" i="47"/>
  <c r="AZ253" i="47"/>
  <c r="AO253" i="47"/>
  <c r="A253" i="47"/>
  <c r="BA252" i="47"/>
  <c r="AZ252" i="47"/>
  <c r="AO252" i="47"/>
  <c r="A252" i="47"/>
  <c r="BA251" i="47"/>
  <c r="AZ251" i="47"/>
  <c r="AO251" i="47"/>
  <c r="A251" i="47"/>
  <c r="BA250" i="47"/>
  <c r="AZ250" i="47"/>
  <c r="AO250" i="47"/>
  <c r="A250" i="47"/>
  <c r="BA249" i="47"/>
  <c r="AZ249" i="47"/>
  <c r="AO249" i="47"/>
  <c r="A249" i="47"/>
  <c r="BA248" i="47"/>
  <c r="AZ248" i="47"/>
  <c r="AO248" i="47"/>
  <c r="A248" i="47"/>
  <c r="BA247" i="47"/>
  <c r="AZ247" i="47"/>
  <c r="AO247" i="47"/>
  <c r="A247" i="47"/>
  <c r="BA246" i="47"/>
  <c r="AZ246" i="47"/>
  <c r="AO246" i="47"/>
  <c r="A246" i="47"/>
  <c r="BA245" i="47"/>
  <c r="AZ245" i="47"/>
  <c r="AO245" i="47"/>
  <c r="A245" i="47"/>
  <c r="BA244" i="47"/>
  <c r="AZ244" i="47"/>
  <c r="AO244" i="47"/>
  <c r="A244" i="47"/>
  <c r="BA243" i="47"/>
  <c r="AZ243" i="47"/>
  <c r="AO243" i="47"/>
  <c r="A243" i="47"/>
  <c r="BA242" i="47"/>
  <c r="AZ242" i="47"/>
  <c r="AO242" i="47"/>
  <c r="A242" i="47"/>
  <c r="BA241" i="47"/>
  <c r="AZ241" i="47"/>
  <c r="AO241" i="47"/>
  <c r="A241" i="47"/>
  <c r="BA240" i="47"/>
  <c r="AZ240" i="47"/>
  <c r="AO240" i="47"/>
  <c r="A240" i="47"/>
  <c r="BA239" i="47"/>
  <c r="AZ239" i="47"/>
  <c r="AO239" i="47"/>
  <c r="A239" i="47"/>
  <c r="BA238" i="47"/>
  <c r="AZ238" i="47"/>
  <c r="AO238" i="47"/>
  <c r="A238" i="47"/>
  <c r="BA237" i="47"/>
  <c r="AZ237" i="47"/>
  <c r="AO237" i="47"/>
  <c r="A237" i="47"/>
  <c r="BA236" i="47"/>
  <c r="AZ236" i="47"/>
  <c r="AO236" i="47"/>
  <c r="A236" i="47"/>
  <c r="BA235" i="47"/>
  <c r="AZ235" i="47"/>
  <c r="AO235" i="47"/>
  <c r="A235" i="47"/>
  <c r="BA234" i="47"/>
  <c r="AZ234" i="47"/>
  <c r="AO234" i="47"/>
  <c r="A234" i="47"/>
  <c r="BA233" i="47"/>
  <c r="AZ233" i="47"/>
  <c r="AO233" i="47"/>
  <c r="A233" i="47"/>
  <c r="BA232" i="47"/>
  <c r="AZ232" i="47"/>
  <c r="AO232" i="47"/>
  <c r="A232" i="47"/>
  <c r="BA231" i="47"/>
  <c r="AZ231" i="47"/>
  <c r="AO231" i="47"/>
  <c r="A231" i="47"/>
  <c r="BA230" i="47"/>
  <c r="AZ230" i="47"/>
  <c r="AO230" i="47"/>
  <c r="A230" i="47"/>
  <c r="BA229" i="47"/>
  <c r="AZ229" i="47"/>
  <c r="AO229" i="47"/>
  <c r="A229" i="47"/>
  <c r="BA228" i="47"/>
  <c r="AZ228" i="47"/>
  <c r="AO228" i="47"/>
  <c r="A228" i="47"/>
  <c r="BA227" i="47"/>
  <c r="AZ227" i="47"/>
  <c r="AO227" i="47"/>
  <c r="A227" i="47"/>
  <c r="BA226" i="47"/>
  <c r="AZ226" i="47"/>
  <c r="AO226" i="47"/>
  <c r="A226" i="47"/>
  <c r="BA225" i="47"/>
  <c r="AZ225" i="47"/>
  <c r="AO225" i="47"/>
  <c r="A225" i="47"/>
  <c r="BA224" i="47"/>
  <c r="AZ224" i="47"/>
  <c r="AO224" i="47"/>
  <c r="A224" i="47"/>
  <c r="BA223" i="47"/>
  <c r="AZ223" i="47"/>
  <c r="AO223" i="47"/>
  <c r="A223" i="47"/>
  <c r="BA222" i="47"/>
  <c r="AZ222" i="47"/>
  <c r="AO222" i="47"/>
  <c r="A222" i="47"/>
  <c r="BA221" i="47"/>
  <c r="AZ221" i="47"/>
  <c r="AO221" i="47"/>
  <c r="A221" i="47"/>
  <c r="BA220" i="47"/>
  <c r="AZ220" i="47"/>
  <c r="AO220" i="47"/>
  <c r="A220" i="47"/>
  <c r="BA219" i="47"/>
  <c r="AZ219" i="47"/>
  <c r="AO219" i="47"/>
  <c r="A219" i="47"/>
  <c r="BA218" i="47"/>
  <c r="AZ218" i="47"/>
  <c r="AO218" i="47"/>
  <c r="A218" i="47"/>
  <c r="BA217" i="47"/>
  <c r="AZ217" i="47"/>
  <c r="AO217" i="47"/>
  <c r="A217" i="47"/>
  <c r="BA216" i="47"/>
  <c r="AZ216" i="47"/>
  <c r="AO216" i="47"/>
  <c r="A216" i="47"/>
  <c r="BA215" i="47"/>
  <c r="AZ215" i="47"/>
  <c r="AO215" i="47"/>
  <c r="A215" i="47"/>
  <c r="BA214" i="47"/>
  <c r="AZ214" i="47"/>
  <c r="AO214" i="47"/>
  <c r="A214" i="47"/>
  <c r="BA213" i="47"/>
  <c r="AZ213" i="47"/>
  <c r="AO213" i="47"/>
  <c r="A213" i="47"/>
  <c r="BA212" i="47"/>
  <c r="AZ212" i="47"/>
  <c r="AO212" i="47"/>
  <c r="A212" i="47"/>
  <c r="BA211" i="47"/>
  <c r="AZ211" i="47"/>
  <c r="AO211" i="47"/>
  <c r="A211" i="47"/>
  <c r="BA210" i="47"/>
  <c r="AZ210" i="47"/>
  <c r="AO210" i="47"/>
  <c r="A210" i="47"/>
  <c r="BA209" i="47"/>
  <c r="AZ209" i="47"/>
  <c r="AO209" i="47"/>
  <c r="A209" i="47"/>
  <c r="BA208" i="47"/>
  <c r="AZ208" i="47"/>
  <c r="AO208" i="47"/>
  <c r="A208" i="47"/>
  <c r="BA207" i="47"/>
  <c r="AZ207" i="47"/>
  <c r="AO207" i="47"/>
  <c r="A207" i="47"/>
  <c r="BA206" i="47"/>
  <c r="AZ206" i="47"/>
  <c r="AO206" i="47"/>
  <c r="A206" i="47"/>
  <c r="BA205" i="47"/>
  <c r="AZ205" i="47"/>
  <c r="AO205" i="47"/>
  <c r="A205" i="47"/>
  <c r="BA204" i="47"/>
  <c r="AZ204" i="47"/>
  <c r="AO204" i="47"/>
  <c r="A204" i="47"/>
  <c r="BA203" i="47"/>
  <c r="AZ203" i="47"/>
  <c r="AO203" i="47"/>
  <c r="A203" i="47"/>
  <c r="BA202" i="47"/>
  <c r="AZ202" i="47"/>
  <c r="AO202" i="47"/>
  <c r="A202" i="47"/>
  <c r="BA201" i="47"/>
  <c r="AZ201" i="47"/>
  <c r="AO201" i="47"/>
  <c r="A201" i="47"/>
  <c r="BA200" i="47"/>
  <c r="AZ200" i="47"/>
  <c r="AO200" i="47"/>
  <c r="A200" i="47"/>
  <c r="BA199" i="47"/>
  <c r="AZ199" i="47"/>
  <c r="AO199" i="47"/>
  <c r="A199" i="47"/>
  <c r="BA198" i="47"/>
  <c r="AZ198" i="47"/>
  <c r="AO198" i="47"/>
  <c r="A198" i="47"/>
  <c r="BA197" i="47"/>
  <c r="AZ197" i="47"/>
  <c r="AO197" i="47"/>
  <c r="A197" i="47"/>
  <c r="BA196" i="47"/>
  <c r="AZ196" i="47"/>
  <c r="AO196" i="47"/>
  <c r="A196" i="47"/>
  <c r="BA195" i="47"/>
  <c r="AZ195" i="47"/>
  <c r="AO195" i="47"/>
  <c r="A195" i="47"/>
  <c r="BA194" i="47"/>
  <c r="AZ194" i="47"/>
  <c r="AO194" i="47"/>
  <c r="A194" i="47"/>
  <c r="BA193" i="47"/>
  <c r="AZ193" i="47"/>
  <c r="AO193" i="47"/>
  <c r="A193" i="47"/>
  <c r="BA192" i="47"/>
  <c r="AZ192" i="47"/>
  <c r="AO192" i="47"/>
  <c r="A192" i="47"/>
  <c r="BA191" i="47"/>
  <c r="AZ191" i="47"/>
  <c r="AO191" i="47"/>
  <c r="A191" i="47"/>
  <c r="BA190" i="47"/>
  <c r="AZ190" i="47"/>
  <c r="AO190" i="47"/>
  <c r="A190" i="47"/>
  <c r="BA189" i="47"/>
  <c r="AZ189" i="47"/>
  <c r="AO189" i="47"/>
  <c r="A189" i="47"/>
  <c r="BA188" i="47"/>
  <c r="AZ188" i="47"/>
  <c r="AO188" i="47"/>
  <c r="A188" i="47"/>
  <c r="BA187" i="47"/>
  <c r="AZ187" i="47"/>
  <c r="AO187" i="47"/>
  <c r="A187" i="47"/>
  <c r="BA186" i="47"/>
  <c r="AZ186" i="47"/>
  <c r="AO186" i="47"/>
  <c r="A186" i="47"/>
  <c r="BA185" i="47"/>
  <c r="AZ185" i="47"/>
  <c r="AO185" i="47"/>
  <c r="A185" i="47"/>
  <c r="BA184" i="47"/>
  <c r="AZ184" i="47"/>
  <c r="AO184" i="47"/>
  <c r="A184" i="47"/>
  <c r="BA183" i="47"/>
  <c r="AZ183" i="47"/>
  <c r="AO183" i="47"/>
  <c r="A183" i="47"/>
  <c r="BA182" i="47"/>
  <c r="AZ182" i="47"/>
  <c r="AO182" i="47"/>
  <c r="A182" i="47"/>
  <c r="BA181" i="47"/>
  <c r="AZ181" i="47"/>
  <c r="AO181" i="47"/>
  <c r="A181" i="47"/>
  <c r="BA180" i="47"/>
  <c r="AZ180" i="47"/>
  <c r="AO180" i="47"/>
  <c r="A180" i="47"/>
  <c r="BA179" i="47"/>
  <c r="AZ179" i="47"/>
  <c r="AO179" i="47"/>
  <c r="A179" i="47"/>
  <c r="BA178" i="47"/>
  <c r="AZ178" i="47"/>
  <c r="AO178" i="47"/>
  <c r="A178" i="47"/>
  <c r="BA177" i="47"/>
  <c r="AZ177" i="47"/>
  <c r="AO177" i="47"/>
  <c r="A177" i="47"/>
  <c r="BA176" i="47"/>
  <c r="AZ176" i="47"/>
  <c r="AO176" i="47"/>
  <c r="A176" i="47"/>
  <c r="BA175" i="47"/>
  <c r="AZ175" i="47"/>
  <c r="AO175" i="47"/>
  <c r="A175" i="47"/>
  <c r="BA174" i="47"/>
  <c r="AZ174" i="47"/>
  <c r="AO174" i="47"/>
  <c r="A174" i="47"/>
  <c r="BA173" i="47"/>
  <c r="AZ173" i="47"/>
  <c r="AO173" i="47"/>
  <c r="A173" i="47"/>
  <c r="BA172" i="47"/>
  <c r="AZ172" i="47"/>
  <c r="AO172" i="47"/>
  <c r="A172" i="47"/>
  <c r="BA171" i="47"/>
  <c r="AZ171" i="47"/>
  <c r="AO171" i="47"/>
  <c r="A171" i="47"/>
  <c r="BA170" i="47"/>
  <c r="AZ170" i="47"/>
  <c r="AO170" i="47"/>
  <c r="A170" i="47"/>
  <c r="BA169" i="47"/>
  <c r="AZ169" i="47"/>
  <c r="AO169" i="47"/>
  <c r="A169" i="47"/>
  <c r="BA168" i="47"/>
  <c r="AZ168" i="47"/>
  <c r="AO168" i="47"/>
  <c r="A168" i="47"/>
  <c r="BA167" i="47"/>
  <c r="AZ167" i="47"/>
  <c r="AO167" i="47"/>
  <c r="A167" i="47"/>
  <c r="BA166" i="47"/>
  <c r="AZ166" i="47"/>
  <c r="AO166" i="47"/>
  <c r="A166" i="47"/>
  <c r="BA165" i="47"/>
  <c r="AZ165" i="47"/>
  <c r="AO165" i="47"/>
  <c r="A165" i="47"/>
  <c r="BA164" i="47"/>
  <c r="AZ164" i="47"/>
  <c r="AO164" i="47"/>
  <c r="A164" i="47"/>
  <c r="BA163" i="47"/>
  <c r="AZ163" i="47"/>
  <c r="AO163" i="47"/>
  <c r="A163" i="47"/>
  <c r="BA162" i="47"/>
  <c r="AZ162" i="47"/>
  <c r="AO162" i="47"/>
  <c r="A162" i="47"/>
  <c r="BA161" i="47"/>
  <c r="AZ161" i="47"/>
  <c r="AO161" i="47"/>
  <c r="A161" i="47"/>
  <c r="BA160" i="47"/>
  <c r="AZ160" i="47"/>
  <c r="AO160" i="47"/>
  <c r="A160" i="47"/>
  <c r="BA159" i="47"/>
  <c r="AZ159" i="47"/>
  <c r="AO159" i="47"/>
  <c r="A159" i="47"/>
  <c r="BA158" i="47"/>
  <c r="AZ158" i="47"/>
  <c r="AO158" i="47"/>
  <c r="A158" i="47"/>
  <c r="BA157" i="47"/>
  <c r="AZ157" i="47"/>
  <c r="AO157" i="47"/>
  <c r="A157" i="47"/>
  <c r="BA156" i="47"/>
  <c r="AZ156" i="47"/>
  <c r="AO156" i="47"/>
  <c r="A156" i="47"/>
  <c r="BA155" i="47"/>
  <c r="AZ155" i="47"/>
  <c r="AO155" i="47"/>
  <c r="A155" i="47"/>
  <c r="BA154" i="47"/>
  <c r="AZ154" i="47"/>
  <c r="AO154" i="47"/>
  <c r="A154" i="47"/>
  <c r="BA153" i="47"/>
  <c r="AZ153" i="47"/>
  <c r="AO153" i="47"/>
  <c r="A153" i="47"/>
  <c r="BA152" i="47"/>
  <c r="AZ152" i="47"/>
  <c r="AO152" i="47"/>
  <c r="A152" i="47"/>
  <c r="BA151" i="47"/>
  <c r="AZ151" i="47"/>
  <c r="AO151" i="47"/>
  <c r="A151" i="47"/>
  <c r="BA150" i="47"/>
  <c r="AZ150" i="47"/>
  <c r="AO150" i="47"/>
  <c r="A150" i="47"/>
  <c r="BA149" i="47"/>
  <c r="AZ149" i="47"/>
  <c r="AO149" i="47"/>
  <c r="A149" i="47"/>
  <c r="BA148" i="47"/>
  <c r="AZ148" i="47"/>
  <c r="AO148" i="47"/>
  <c r="A148" i="47"/>
  <c r="BA147" i="47"/>
  <c r="AZ147" i="47"/>
  <c r="AO147" i="47"/>
  <c r="A147" i="47"/>
  <c r="BA146" i="47"/>
  <c r="AZ146" i="47"/>
  <c r="AO146" i="47"/>
  <c r="A146" i="47"/>
  <c r="BA145" i="47"/>
  <c r="AZ145" i="47"/>
  <c r="AO145" i="47"/>
  <c r="A145" i="47"/>
  <c r="BA144" i="47"/>
  <c r="AZ144" i="47"/>
  <c r="AO144" i="47"/>
  <c r="A144" i="47"/>
  <c r="BA143" i="47"/>
  <c r="AZ143" i="47"/>
  <c r="AO143" i="47"/>
  <c r="A143" i="47"/>
  <c r="BA142" i="47"/>
  <c r="AZ142" i="47"/>
  <c r="AO142" i="47"/>
  <c r="A142" i="47"/>
  <c r="BA141" i="47"/>
  <c r="AZ141" i="47"/>
  <c r="AO141" i="47"/>
  <c r="A141" i="47"/>
  <c r="BA140" i="47"/>
  <c r="AZ140" i="47"/>
  <c r="AO140" i="47"/>
  <c r="A140" i="47"/>
  <c r="BA139" i="47"/>
  <c r="AZ139" i="47"/>
  <c r="AO139" i="47"/>
  <c r="A139" i="47"/>
  <c r="BA138" i="47"/>
  <c r="AZ138" i="47"/>
  <c r="AO138" i="47"/>
  <c r="A138" i="47"/>
  <c r="BA137" i="47"/>
  <c r="AZ137" i="47"/>
  <c r="AO137" i="47"/>
  <c r="A137" i="47"/>
  <c r="BA136" i="47"/>
  <c r="AZ136" i="47"/>
  <c r="AO136" i="47"/>
  <c r="A136" i="47"/>
  <c r="BA135" i="47"/>
  <c r="AZ135" i="47"/>
  <c r="AO135" i="47"/>
  <c r="A135" i="47"/>
  <c r="BA134" i="47"/>
  <c r="AZ134" i="47"/>
  <c r="AO134" i="47"/>
  <c r="A134" i="47"/>
  <c r="BA133" i="47"/>
  <c r="AZ133" i="47"/>
  <c r="AO133" i="47"/>
  <c r="A133" i="47"/>
  <c r="BA132" i="47"/>
  <c r="AZ132" i="47"/>
  <c r="AO132" i="47"/>
  <c r="A132" i="47"/>
  <c r="BA131" i="47"/>
  <c r="AZ131" i="47"/>
  <c r="AO131" i="47"/>
  <c r="A131" i="47"/>
  <c r="BA130" i="47"/>
  <c r="AZ130" i="47"/>
  <c r="AO130" i="47"/>
  <c r="A130" i="47"/>
  <c r="BA129" i="47"/>
  <c r="AZ129" i="47"/>
  <c r="AO129" i="47"/>
  <c r="A129" i="47"/>
  <c r="BA128" i="47"/>
  <c r="AZ128" i="47"/>
  <c r="AO128" i="47"/>
  <c r="A128" i="47"/>
  <c r="BA127" i="47"/>
  <c r="AZ127" i="47"/>
  <c r="AO127" i="47"/>
  <c r="A127" i="47"/>
  <c r="BA126" i="47"/>
  <c r="AZ126" i="47"/>
  <c r="AO126" i="47"/>
  <c r="A126" i="47"/>
  <c r="BA125" i="47"/>
  <c r="AZ125" i="47"/>
  <c r="AO125" i="47"/>
  <c r="A125" i="47"/>
  <c r="BA124" i="47"/>
  <c r="AZ124" i="47"/>
  <c r="AO124" i="47"/>
  <c r="A124" i="47"/>
  <c r="BA123" i="47"/>
  <c r="AZ123" i="47"/>
  <c r="AO123" i="47"/>
  <c r="A123" i="47"/>
  <c r="BA122" i="47"/>
  <c r="AZ122" i="47"/>
  <c r="AO122" i="47"/>
  <c r="A122" i="47"/>
  <c r="BA121" i="47"/>
  <c r="AZ121" i="47"/>
  <c r="AO121" i="47"/>
  <c r="A121" i="47"/>
  <c r="BA120" i="47"/>
  <c r="AZ120" i="47"/>
  <c r="AO120" i="47"/>
  <c r="A120" i="47"/>
  <c r="BA119" i="47"/>
  <c r="AZ119" i="47"/>
  <c r="AO119" i="47"/>
  <c r="A119" i="47"/>
  <c r="BA118" i="47"/>
  <c r="AZ118" i="47"/>
  <c r="AO118" i="47"/>
  <c r="A118" i="47"/>
  <c r="BA117" i="47"/>
  <c r="AZ117" i="47"/>
  <c r="AO117" i="47"/>
  <c r="A117" i="47"/>
  <c r="BA116" i="47"/>
  <c r="AZ116" i="47"/>
  <c r="AO116" i="47"/>
  <c r="A116" i="47"/>
  <c r="BA115" i="47"/>
  <c r="AZ115" i="47"/>
  <c r="AO115" i="47"/>
  <c r="A115" i="47"/>
  <c r="BA114" i="47"/>
  <c r="AZ114" i="47"/>
  <c r="AO114" i="47"/>
  <c r="A114" i="47"/>
  <c r="BA113" i="47"/>
  <c r="AZ113" i="47"/>
  <c r="AO113" i="47"/>
  <c r="A113" i="47"/>
  <c r="BA112" i="47"/>
  <c r="AZ112" i="47"/>
  <c r="AO112" i="47"/>
  <c r="A112" i="47"/>
  <c r="BA111" i="47"/>
  <c r="AZ111" i="47"/>
  <c r="AO111" i="47"/>
  <c r="A111" i="47"/>
  <c r="BA110" i="47"/>
  <c r="AZ110" i="47"/>
  <c r="AO110" i="47"/>
  <c r="A110" i="47"/>
  <c r="BA109" i="47"/>
  <c r="AZ109" i="47"/>
  <c r="AO109" i="47"/>
  <c r="A109" i="47"/>
  <c r="BA108" i="47"/>
  <c r="AZ108" i="47"/>
  <c r="AO108" i="47"/>
  <c r="A108" i="47"/>
  <c r="BA107" i="47"/>
  <c r="AZ107" i="47"/>
  <c r="AO107" i="47"/>
  <c r="A107" i="47"/>
  <c r="BA106" i="47"/>
  <c r="AZ106" i="47"/>
  <c r="AO106" i="47"/>
  <c r="A106" i="47"/>
  <c r="BA105" i="47"/>
  <c r="AZ105" i="47"/>
  <c r="AO105" i="47"/>
  <c r="A105" i="47"/>
  <c r="BA104" i="47"/>
  <c r="AZ104" i="47"/>
  <c r="AO104" i="47"/>
  <c r="A104" i="47"/>
  <c r="BA103" i="47"/>
  <c r="AZ103" i="47"/>
  <c r="AO103" i="47"/>
  <c r="A103" i="47"/>
  <c r="BA102" i="47"/>
  <c r="AZ102" i="47"/>
  <c r="AO102" i="47"/>
  <c r="A102" i="47"/>
  <c r="BA101" i="47"/>
  <c r="AZ101" i="47"/>
  <c r="AO101" i="47"/>
  <c r="A101" i="47"/>
  <c r="BA100" i="47"/>
  <c r="AZ100" i="47"/>
  <c r="AO100" i="47"/>
  <c r="A100" i="47"/>
  <c r="BA99" i="47"/>
  <c r="AZ99" i="47"/>
  <c r="AO99" i="47"/>
  <c r="A99" i="47"/>
  <c r="BA98" i="47"/>
  <c r="AZ98" i="47"/>
  <c r="AO98" i="47"/>
  <c r="A98" i="47"/>
  <c r="BA97" i="47"/>
  <c r="AZ97" i="47"/>
  <c r="AO97" i="47"/>
  <c r="A97" i="47"/>
  <c r="BA96" i="47"/>
  <c r="AZ96" i="47"/>
  <c r="AO96" i="47"/>
  <c r="A96" i="47"/>
  <c r="BA95" i="47"/>
  <c r="AZ95" i="47"/>
  <c r="AO95" i="47"/>
  <c r="A95" i="47"/>
  <c r="BA94" i="47"/>
  <c r="AZ94" i="47"/>
  <c r="AO94" i="47"/>
  <c r="A94" i="47"/>
  <c r="BA93" i="47"/>
  <c r="AZ93" i="47"/>
  <c r="AO93" i="47"/>
  <c r="A93" i="47"/>
  <c r="BA92" i="47"/>
  <c r="AZ92" i="47"/>
  <c r="AO92" i="47"/>
  <c r="A92" i="47"/>
  <c r="BA91" i="47"/>
  <c r="AZ91" i="47"/>
  <c r="AO91" i="47"/>
  <c r="A91" i="47"/>
  <c r="BA90" i="47"/>
  <c r="AZ90" i="47"/>
  <c r="AO90" i="47"/>
  <c r="A90" i="47"/>
  <c r="BA89" i="47"/>
  <c r="AZ89" i="47"/>
  <c r="AO89" i="47"/>
  <c r="A89" i="47"/>
  <c r="BA88" i="47"/>
  <c r="AZ88" i="47"/>
  <c r="AO88" i="47"/>
  <c r="A88" i="47"/>
  <c r="BA87" i="47"/>
  <c r="AZ87" i="47"/>
  <c r="AO87" i="47"/>
  <c r="A87" i="47"/>
  <c r="BA86" i="47"/>
  <c r="AZ86" i="47"/>
  <c r="AO86" i="47"/>
  <c r="A86" i="47"/>
  <c r="BA85" i="47"/>
  <c r="AZ85" i="47"/>
  <c r="AO85" i="47"/>
  <c r="A85" i="47"/>
  <c r="BA84" i="47"/>
  <c r="AZ84" i="47"/>
  <c r="AO84" i="47"/>
  <c r="A84" i="47"/>
  <c r="BA83" i="47"/>
  <c r="AZ83" i="47"/>
  <c r="AO83" i="47"/>
  <c r="A83" i="47"/>
  <c r="BA82" i="47"/>
  <c r="AZ82" i="47"/>
  <c r="AO82" i="47"/>
  <c r="A82" i="47"/>
  <c r="BA81" i="47"/>
  <c r="AZ81" i="47"/>
  <c r="AO81" i="47"/>
  <c r="A81" i="47"/>
  <c r="BA80" i="47"/>
  <c r="AZ80" i="47"/>
  <c r="AO80" i="47"/>
  <c r="A80" i="47"/>
  <c r="BA79" i="47"/>
  <c r="AZ79" i="47"/>
  <c r="AO79" i="47"/>
  <c r="A79" i="47"/>
  <c r="BA78" i="47"/>
  <c r="AZ78" i="47"/>
  <c r="AO78" i="47"/>
  <c r="A78" i="47"/>
  <c r="BA77" i="47"/>
  <c r="AZ77" i="47"/>
  <c r="AO77" i="47"/>
  <c r="A77" i="47"/>
  <c r="BA76" i="47"/>
  <c r="AZ76" i="47"/>
  <c r="AO76" i="47"/>
  <c r="A76" i="47"/>
  <c r="BA75" i="47"/>
  <c r="AZ75" i="47"/>
  <c r="AO75" i="47"/>
  <c r="A75" i="47"/>
  <c r="BA74" i="47"/>
  <c r="AZ74" i="47"/>
  <c r="AO74" i="47"/>
  <c r="A74" i="47"/>
  <c r="BA73" i="47"/>
  <c r="AZ73" i="47"/>
  <c r="AO73" i="47"/>
  <c r="A73" i="47"/>
  <c r="BA72" i="47"/>
  <c r="AZ72" i="47"/>
  <c r="AO72" i="47"/>
  <c r="A72" i="47"/>
  <c r="BA71" i="47"/>
  <c r="AZ71" i="47"/>
  <c r="AO71" i="47"/>
  <c r="A71" i="47"/>
  <c r="BA70" i="47"/>
  <c r="AZ70" i="47"/>
  <c r="AO70" i="47"/>
  <c r="A70" i="47"/>
  <c r="BA69" i="47"/>
  <c r="AZ69" i="47"/>
  <c r="AO69" i="47"/>
  <c r="A69" i="47"/>
  <c r="BA68" i="47"/>
  <c r="AZ68" i="47"/>
  <c r="AO68" i="47"/>
  <c r="A68" i="47"/>
  <c r="BA67" i="47"/>
  <c r="AZ67" i="47"/>
  <c r="AO67" i="47"/>
  <c r="A67" i="47"/>
  <c r="BA66" i="47"/>
  <c r="AZ66" i="47"/>
  <c r="AO66" i="47"/>
  <c r="A66" i="47"/>
  <c r="BA65" i="47"/>
  <c r="AZ65" i="47"/>
  <c r="AO65" i="47"/>
  <c r="A65" i="47"/>
  <c r="BA64" i="47"/>
  <c r="AZ64" i="47"/>
  <c r="AO64" i="47"/>
  <c r="A64" i="47"/>
  <c r="BA63" i="47"/>
  <c r="AZ63" i="47"/>
  <c r="AO63" i="47"/>
  <c r="A63" i="47"/>
  <c r="BA62" i="47"/>
  <c r="AZ62" i="47"/>
  <c r="AO62" i="47"/>
  <c r="A62" i="47"/>
  <c r="BA61" i="47"/>
  <c r="AZ61" i="47"/>
  <c r="AO61" i="47"/>
  <c r="A61" i="47"/>
  <c r="BA60" i="47"/>
  <c r="AZ60" i="47"/>
  <c r="AO60" i="47"/>
  <c r="A60" i="47"/>
  <c r="BA59" i="47"/>
  <c r="AZ59" i="47"/>
  <c r="AO59" i="47"/>
  <c r="A59" i="47"/>
  <c r="BA58" i="47"/>
  <c r="AZ58" i="47"/>
  <c r="AO58" i="47"/>
  <c r="A58" i="47"/>
  <c r="BA57" i="47"/>
  <c r="AZ57" i="47"/>
  <c r="AO57" i="47"/>
  <c r="A57" i="47"/>
  <c r="BA56" i="47"/>
  <c r="AZ56" i="47"/>
  <c r="AO56" i="47"/>
  <c r="A56" i="47"/>
  <c r="BA55" i="47"/>
  <c r="AZ55" i="47"/>
  <c r="AO55" i="47"/>
  <c r="A55" i="47"/>
  <c r="BA54" i="47"/>
  <c r="AZ54" i="47"/>
  <c r="AO54" i="47"/>
  <c r="A54" i="47"/>
  <c r="BA53" i="47"/>
  <c r="AZ53" i="47"/>
  <c r="AO53" i="47"/>
  <c r="A53" i="47"/>
  <c r="BA52" i="47"/>
  <c r="AZ52" i="47"/>
  <c r="AO52" i="47"/>
  <c r="A52" i="47"/>
  <c r="BA51" i="47"/>
  <c r="AZ51" i="47"/>
  <c r="AO51" i="47"/>
  <c r="A51" i="47"/>
  <c r="BA50" i="47"/>
  <c r="AZ50" i="47"/>
  <c r="AO50" i="47"/>
  <c r="A50" i="47"/>
  <c r="BA49" i="47"/>
  <c r="AZ49" i="47"/>
  <c r="AO49" i="47"/>
  <c r="A49" i="47"/>
  <c r="BA48" i="47"/>
  <c r="AZ48" i="47"/>
  <c r="AO48" i="47"/>
  <c r="A48" i="47"/>
  <c r="BA47" i="47"/>
  <c r="AZ47" i="47"/>
  <c r="AO47" i="47"/>
  <c r="A47" i="47"/>
  <c r="BA46" i="47"/>
  <c r="AZ46" i="47"/>
  <c r="AO46" i="47"/>
  <c r="A46" i="47"/>
  <c r="BA45" i="47"/>
  <c r="AZ45" i="47"/>
  <c r="AO45" i="47"/>
  <c r="A45" i="47"/>
  <c r="BA44" i="47"/>
  <c r="AZ44" i="47"/>
  <c r="AO44" i="47"/>
  <c r="A44" i="47"/>
  <c r="BA43" i="47"/>
  <c r="AZ43" i="47"/>
  <c r="AO43" i="47"/>
  <c r="A43" i="47"/>
  <c r="BA42" i="47"/>
  <c r="AZ42" i="47"/>
  <c r="AO42" i="47"/>
  <c r="A42" i="47"/>
  <c r="BA41" i="47"/>
  <c r="AZ41" i="47"/>
  <c r="AO41" i="47"/>
  <c r="A41" i="47"/>
  <c r="BA40" i="47"/>
  <c r="AZ40" i="47"/>
  <c r="AO40" i="47"/>
  <c r="A40" i="47"/>
  <c r="BA39" i="47"/>
  <c r="AZ39" i="47"/>
  <c r="AO39" i="47"/>
  <c r="A39" i="47"/>
  <c r="BA38" i="47"/>
  <c r="AZ38" i="47"/>
  <c r="AO38" i="47"/>
  <c r="A38" i="47"/>
  <c r="BA37" i="47"/>
  <c r="AZ37" i="47"/>
  <c r="AO37" i="47"/>
  <c r="A37" i="47"/>
  <c r="BA36" i="47"/>
  <c r="AZ36" i="47"/>
  <c r="AO36" i="47"/>
  <c r="A36" i="47"/>
  <c r="BA35" i="47"/>
  <c r="AZ35" i="47"/>
  <c r="AO35" i="47"/>
  <c r="A35" i="47"/>
  <c r="BA34" i="47"/>
  <c r="AZ34" i="47"/>
  <c r="AO34" i="47"/>
  <c r="A34" i="47"/>
  <c r="BA33" i="47"/>
  <c r="AZ33" i="47"/>
  <c r="AO33" i="47"/>
  <c r="A33" i="47"/>
  <c r="BA32" i="47"/>
  <c r="AZ32" i="47"/>
  <c r="AO32" i="47"/>
  <c r="A32" i="47"/>
  <c r="BA31" i="47"/>
  <c r="AZ31" i="47"/>
  <c r="AO31" i="47"/>
  <c r="A31" i="47"/>
  <c r="BA30" i="47"/>
  <c r="AZ30" i="47"/>
  <c r="AO30" i="47"/>
  <c r="A30" i="47"/>
  <c r="BA29" i="47"/>
  <c r="AZ29" i="47"/>
  <c r="AO29" i="47"/>
  <c r="A29" i="47"/>
  <c r="BA28" i="47"/>
  <c r="AZ28" i="47"/>
  <c r="AO28" i="47"/>
  <c r="A28" i="47"/>
  <c r="BA27" i="47"/>
  <c r="AZ27" i="47"/>
  <c r="AO27" i="47"/>
  <c r="A27" i="47"/>
  <c r="BA26" i="47"/>
  <c r="AZ26" i="47"/>
  <c r="AO26" i="47"/>
  <c r="A26" i="47"/>
  <c r="BA25" i="47"/>
  <c r="AZ25" i="47"/>
  <c r="AO25" i="47"/>
  <c r="A25" i="47"/>
  <c r="BA24" i="47"/>
  <c r="AZ24" i="47"/>
  <c r="AO24" i="47"/>
  <c r="A24" i="47"/>
  <c r="BA23" i="47"/>
  <c r="AZ23" i="47"/>
  <c r="AO23" i="47"/>
  <c r="A23" i="47"/>
  <c r="BA22" i="47"/>
  <c r="AZ22" i="47"/>
  <c r="AO22" i="47"/>
  <c r="A22" i="47"/>
  <c r="BA21" i="47"/>
  <c r="AZ21" i="47"/>
  <c r="AO21" i="47"/>
  <c r="A21" i="47"/>
  <c r="BA20" i="47"/>
  <c r="AZ20" i="47"/>
  <c r="AO20" i="47"/>
  <c r="A20" i="47"/>
  <c r="BA19" i="47"/>
  <c r="AZ19" i="47"/>
  <c r="AO19" i="47"/>
  <c r="A19" i="47"/>
  <c r="BA18" i="47"/>
  <c r="AZ18" i="47"/>
  <c r="AO18" i="47"/>
  <c r="A18" i="47"/>
  <c r="BA17" i="47"/>
  <c r="AZ17" i="47"/>
  <c r="AO17" i="47"/>
  <c r="A17" i="47"/>
  <c r="BA16" i="47"/>
  <c r="AZ16" i="47"/>
  <c r="AO16" i="47"/>
  <c r="A16" i="47"/>
  <c r="BA15" i="47"/>
  <c r="AZ15" i="47"/>
  <c r="AO15" i="47"/>
  <c r="A15" i="47"/>
  <c r="K10" i="47"/>
  <c r="H10" i="47"/>
  <c r="F10" i="47"/>
  <c r="K9" i="47"/>
  <c r="K8" i="47"/>
  <c r="E8" i="47"/>
  <c r="K7" i="47"/>
  <c r="E7" i="47"/>
  <c r="K6" i="47"/>
  <c r="E6" i="47"/>
  <c r="A4" i="47"/>
  <c r="A3" i="47"/>
  <c r="A2" i="47"/>
  <c r="BP17" i="23"/>
  <c r="BP16" i="23"/>
  <c r="BP15" i="23"/>
  <c r="L15" i="23"/>
  <c r="AI128" i="23"/>
  <c r="AI127" i="23"/>
  <c r="AI126" i="23"/>
  <c r="AU120" i="23"/>
  <c r="AU119" i="23"/>
  <c r="AU118" i="23"/>
  <c r="AU117" i="23"/>
  <c r="AU116" i="23"/>
  <c r="AU115" i="23"/>
  <c r="AU114" i="23"/>
  <c r="AE114" i="23"/>
  <c r="AT111" i="23"/>
  <c r="BD101" i="23"/>
  <c r="BH101" i="23"/>
  <c r="AZ101" i="23"/>
  <c r="AV101" i="23"/>
  <c r="AR101" i="23"/>
  <c r="AN101" i="23"/>
  <c r="AJ101" i="23"/>
  <c r="AF101" i="23"/>
  <c r="AB101" i="23"/>
  <c r="X101" i="23"/>
  <c r="T101" i="23"/>
  <c r="P101" i="23"/>
  <c r="L101" i="23"/>
  <c r="BH100" i="23"/>
  <c r="BD100" i="23"/>
  <c r="AZ100" i="23"/>
  <c r="AV100" i="23"/>
  <c r="AR100" i="23"/>
  <c r="AN100" i="23"/>
  <c r="AJ100" i="23"/>
  <c r="AF100" i="23"/>
  <c r="AB100" i="23"/>
  <c r="X100" i="23"/>
  <c r="T100" i="23"/>
  <c r="P100" i="23"/>
  <c r="L100" i="23"/>
  <c r="S131" i="23"/>
  <c r="G126" i="23"/>
  <c r="BP19" i="23" l="1"/>
  <c r="BP18" i="23"/>
  <c r="BP101" i="23"/>
  <c r="S49" i="23"/>
  <c r="S48" i="23"/>
  <c r="S83" i="23"/>
  <c r="G78" i="23"/>
  <c r="G44" i="23"/>
  <c r="A1014" i="37"/>
  <c r="A1013" i="37"/>
  <c r="A1012" i="37"/>
  <c r="A1011" i="37"/>
  <c r="A1010" i="37"/>
  <c r="A1009" i="37"/>
  <c r="A1008" i="37"/>
  <c r="A1007" i="37"/>
  <c r="A1006" i="37"/>
  <c r="A1005" i="37"/>
  <c r="A1004" i="37"/>
  <c r="A1003" i="37"/>
  <c r="A1002" i="37"/>
  <c r="A1001" i="37"/>
  <c r="A1000" i="37"/>
  <c r="A999" i="37"/>
  <c r="A998" i="37"/>
  <c r="A997" i="37"/>
  <c r="A996" i="37"/>
  <c r="A995" i="37"/>
  <c r="A994" i="37"/>
  <c r="A993" i="37"/>
  <c r="A992" i="37"/>
  <c r="A991" i="37"/>
  <c r="A990" i="37"/>
  <c r="A989" i="37"/>
  <c r="A988" i="37"/>
  <c r="A987" i="37"/>
  <c r="A986" i="37"/>
  <c r="A985" i="37"/>
  <c r="A984" i="37"/>
  <c r="A983" i="37"/>
  <c r="A982" i="37"/>
  <c r="A981" i="37"/>
  <c r="A980" i="37"/>
  <c r="A979" i="37"/>
  <c r="A978" i="37"/>
  <c r="A977" i="37"/>
  <c r="A976" i="37"/>
  <c r="A975" i="37"/>
  <c r="A974" i="37"/>
  <c r="A973" i="37"/>
  <c r="A972" i="37"/>
  <c r="A971" i="37"/>
  <c r="A970" i="37"/>
  <c r="A969" i="37"/>
  <c r="A968" i="37"/>
  <c r="A967" i="37"/>
  <c r="A966" i="37"/>
  <c r="A965" i="37"/>
  <c r="A964" i="37"/>
  <c r="A963" i="37"/>
  <c r="A962" i="37"/>
  <c r="A961" i="37"/>
  <c r="A960" i="37"/>
  <c r="A959" i="37"/>
  <c r="A958" i="37"/>
  <c r="A957" i="37"/>
  <c r="A956" i="37"/>
  <c r="A955" i="37"/>
  <c r="A954" i="37"/>
  <c r="A953" i="37"/>
  <c r="A952" i="37"/>
  <c r="A951" i="37"/>
  <c r="A950" i="37"/>
  <c r="A949" i="37"/>
  <c r="A948" i="37"/>
  <c r="A947" i="37"/>
  <c r="A946" i="37"/>
  <c r="A945" i="37"/>
  <c r="A944" i="37"/>
  <c r="A943" i="37"/>
  <c r="A942" i="37"/>
  <c r="A941" i="37"/>
  <c r="A940" i="37"/>
  <c r="A939" i="37"/>
  <c r="A938" i="37"/>
  <c r="A937" i="37"/>
  <c r="A936" i="37"/>
  <c r="A935" i="37"/>
  <c r="A934" i="37"/>
  <c r="A933" i="37"/>
  <c r="A932" i="37"/>
  <c r="A931" i="37"/>
  <c r="A930" i="37"/>
  <c r="A929" i="37"/>
  <c r="A928" i="37"/>
  <c r="A927" i="37"/>
  <c r="A926" i="37"/>
  <c r="A925" i="37"/>
  <c r="A924" i="37"/>
  <c r="A923" i="37"/>
  <c r="A922" i="37"/>
  <c r="A921" i="37"/>
  <c r="A920" i="37"/>
  <c r="A919" i="37"/>
  <c r="A918" i="37"/>
  <c r="A917" i="37"/>
  <c r="A916" i="37"/>
  <c r="A915" i="37"/>
  <c r="A914" i="37"/>
  <c r="A913" i="37"/>
  <c r="A912" i="37"/>
  <c r="A911" i="37"/>
  <c r="A910" i="37"/>
  <c r="A909" i="37"/>
  <c r="A908" i="37"/>
  <c r="A907" i="37"/>
  <c r="A906" i="37"/>
  <c r="A905" i="37"/>
  <c r="A904" i="37"/>
  <c r="A903" i="37"/>
  <c r="A902" i="37"/>
  <c r="A901" i="37"/>
  <c r="A900" i="37"/>
  <c r="A899" i="37"/>
  <c r="A898" i="37"/>
  <c r="A897" i="37"/>
  <c r="A896" i="37"/>
  <c r="A895" i="37"/>
  <c r="A894" i="37"/>
  <c r="A893" i="37"/>
  <c r="A892" i="37"/>
  <c r="A891" i="37"/>
  <c r="A890" i="37"/>
  <c r="A889" i="37"/>
  <c r="A888" i="37"/>
  <c r="A887" i="37"/>
  <c r="A886" i="37"/>
  <c r="A885" i="37"/>
  <c r="A884" i="37"/>
  <c r="A883" i="37"/>
  <c r="A882" i="37"/>
  <c r="A881" i="37"/>
  <c r="A880" i="37"/>
  <c r="A879" i="37"/>
  <c r="A878" i="37"/>
  <c r="A877" i="37"/>
  <c r="A876" i="37"/>
  <c r="A875" i="37"/>
  <c r="A874" i="37"/>
  <c r="A873" i="37"/>
  <c r="A872" i="37"/>
  <c r="A871" i="37"/>
  <c r="A870" i="37"/>
  <c r="A869" i="37"/>
  <c r="A868" i="37"/>
  <c r="A867" i="37"/>
  <c r="A866" i="37"/>
  <c r="A865" i="37"/>
  <c r="A864" i="37"/>
  <c r="A863" i="37"/>
  <c r="A862" i="37"/>
  <c r="A861" i="37"/>
  <c r="A860" i="37"/>
  <c r="A859" i="37"/>
  <c r="A858" i="37"/>
  <c r="A857" i="37"/>
  <c r="A856" i="37"/>
  <c r="A855" i="37"/>
  <c r="A854" i="37"/>
  <c r="A853" i="37"/>
  <c r="A852" i="37"/>
  <c r="A851" i="37"/>
  <c r="A850" i="37"/>
  <c r="A849" i="37"/>
  <c r="A848" i="37"/>
  <c r="A847" i="37"/>
  <c r="A846" i="37"/>
  <c r="A845" i="37"/>
  <c r="A844" i="37"/>
  <c r="A843" i="37"/>
  <c r="A842" i="37"/>
  <c r="A841" i="37"/>
  <c r="A840" i="37"/>
  <c r="A839" i="37"/>
  <c r="A838" i="37"/>
  <c r="A837" i="37"/>
  <c r="A836" i="37"/>
  <c r="A835" i="37"/>
  <c r="A834" i="37"/>
  <c r="A833" i="37"/>
  <c r="A832" i="37"/>
  <c r="A831" i="37"/>
  <c r="A830" i="37"/>
  <c r="A829" i="37"/>
  <c r="A828" i="37"/>
  <c r="A827" i="37"/>
  <c r="A826" i="37"/>
  <c r="A825" i="37"/>
  <c r="A824" i="37"/>
  <c r="A823" i="37"/>
  <c r="A822" i="37"/>
  <c r="A821" i="37"/>
  <c r="A820" i="37"/>
  <c r="A819" i="37"/>
  <c r="A818" i="37"/>
  <c r="A817" i="37"/>
  <c r="A816" i="37"/>
  <c r="A815" i="37"/>
  <c r="A814" i="37"/>
  <c r="A813" i="37"/>
  <c r="A812" i="37"/>
  <c r="A811" i="37"/>
  <c r="A810" i="37"/>
  <c r="A809" i="37"/>
  <c r="A808" i="37"/>
  <c r="A807" i="37"/>
  <c r="A806" i="37"/>
  <c r="A805" i="37"/>
  <c r="A804" i="37"/>
  <c r="A803" i="37"/>
  <c r="A802" i="37"/>
  <c r="A801" i="37"/>
  <c r="A800" i="37"/>
  <c r="A799" i="37"/>
  <c r="A798" i="37"/>
  <c r="A797" i="37"/>
  <c r="A796" i="37"/>
  <c r="A795" i="37"/>
  <c r="A794" i="37"/>
  <c r="A793" i="37"/>
  <c r="A792" i="37"/>
  <c r="A791" i="37"/>
  <c r="A790" i="37"/>
  <c r="A789" i="37"/>
  <c r="A788" i="37"/>
  <c r="A787" i="37"/>
  <c r="A786" i="37"/>
  <c r="A785" i="37"/>
  <c r="A784" i="37"/>
  <c r="A783" i="37"/>
  <c r="A782" i="37"/>
  <c r="A781" i="37"/>
  <c r="A780" i="37"/>
  <c r="A779" i="37"/>
  <c r="A778" i="37"/>
  <c r="A777" i="37"/>
  <c r="A776" i="37"/>
  <c r="A775" i="37"/>
  <c r="A774" i="37"/>
  <c r="A773" i="37"/>
  <c r="A772" i="37"/>
  <c r="A771" i="37"/>
  <c r="A770" i="37"/>
  <c r="A769" i="37"/>
  <c r="A768" i="37"/>
  <c r="A767" i="37"/>
  <c r="A766" i="37"/>
  <c r="A765" i="37"/>
  <c r="A764" i="37"/>
  <c r="A763" i="37"/>
  <c r="A762" i="37"/>
  <c r="A761" i="37"/>
  <c r="A760" i="37"/>
  <c r="A759" i="37"/>
  <c r="A758" i="37"/>
  <c r="A757" i="37"/>
  <c r="A756" i="37"/>
  <c r="A755" i="37"/>
  <c r="A754" i="37"/>
  <c r="A753" i="37"/>
  <c r="A752" i="37"/>
  <c r="A751" i="37"/>
  <c r="A750" i="37"/>
  <c r="A749" i="37"/>
  <c r="A748" i="37"/>
  <c r="A747" i="37"/>
  <c r="A746" i="37"/>
  <c r="A745" i="37"/>
  <c r="A744" i="37"/>
  <c r="A743" i="37"/>
  <c r="A742" i="37"/>
  <c r="A741" i="37"/>
  <c r="A740" i="37"/>
  <c r="A739" i="37"/>
  <c r="A738" i="37"/>
  <c r="A737" i="37"/>
  <c r="A736" i="37"/>
  <c r="A735" i="37"/>
  <c r="A734" i="37"/>
  <c r="A733" i="37"/>
  <c r="A732" i="37"/>
  <c r="A731" i="37"/>
  <c r="A730" i="37"/>
  <c r="A729" i="37"/>
  <c r="A728" i="37"/>
  <c r="A727" i="37"/>
  <c r="A726" i="37"/>
  <c r="A725" i="37"/>
  <c r="A724" i="37"/>
  <c r="A723" i="37"/>
  <c r="A722" i="37"/>
  <c r="A721" i="37"/>
  <c r="A720" i="37"/>
  <c r="A719" i="37"/>
  <c r="A718" i="37"/>
  <c r="A717" i="37"/>
  <c r="A716" i="37"/>
  <c r="A715" i="37"/>
  <c r="A714" i="37"/>
  <c r="A713" i="37"/>
  <c r="A712" i="37"/>
  <c r="A711" i="37"/>
  <c r="A710" i="37"/>
  <c r="A709" i="37"/>
  <c r="A708" i="37"/>
  <c r="A707" i="37"/>
  <c r="A706" i="37"/>
  <c r="A705" i="37"/>
  <c r="A704" i="37"/>
  <c r="A703" i="37"/>
  <c r="A702" i="37"/>
  <c r="A701" i="37"/>
  <c r="A700" i="37"/>
  <c r="A699" i="37"/>
  <c r="A698" i="37"/>
  <c r="A697" i="37"/>
  <c r="A696" i="37"/>
  <c r="A695" i="37"/>
  <c r="A694" i="37"/>
  <c r="A693" i="37"/>
  <c r="A692" i="37"/>
  <c r="A691" i="37"/>
  <c r="A690" i="37"/>
  <c r="A689" i="37"/>
  <c r="A688" i="37"/>
  <c r="A687" i="37"/>
  <c r="A686" i="37"/>
  <c r="A685" i="37"/>
  <c r="A684" i="37"/>
  <c r="A683" i="37"/>
  <c r="A682" i="37"/>
  <c r="A681" i="37"/>
  <c r="A680" i="37"/>
  <c r="A679" i="37"/>
  <c r="A678" i="37"/>
  <c r="A677" i="37"/>
  <c r="A676" i="37"/>
  <c r="A675" i="37"/>
  <c r="A674" i="37"/>
  <c r="A673" i="37"/>
  <c r="A672" i="37"/>
  <c r="A671" i="37"/>
  <c r="A670" i="37"/>
  <c r="A669" i="37"/>
  <c r="A668" i="37"/>
  <c r="A667" i="37"/>
  <c r="A666" i="37"/>
  <c r="A665" i="37"/>
  <c r="A664" i="37"/>
  <c r="A663" i="37"/>
  <c r="A662" i="37"/>
  <c r="A661" i="37"/>
  <c r="A660" i="37"/>
  <c r="A659" i="37"/>
  <c r="A658" i="37"/>
  <c r="A657" i="37"/>
  <c r="A656" i="37"/>
  <c r="A655" i="37"/>
  <c r="A654" i="37"/>
  <c r="A653" i="37"/>
  <c r="A652" i="37"/>
  <c r="A651" i="37"/>
  <c r="A650" i="37"/>
  <c r="A649" i="37"/>
  <c r="A648" i="37"/>
  <c r="A647" i="37"/>
  <c r="A646" i="37"/>
  <c r="A645" i="37"/>
  <c r="A644" i="37"/>
  <c r="A643" i="37"/>
  <c r="A642" i="37"/>
  <c r="A641" i="37"/>
  <c r="A640" i="37"/>
  <c r="A639" i="37"/>
  <c r="A638" i="37"/>
  <c r="A637" i="37"/>
  <c r="A636" i="37"/>
  <c r="A635" i="37"/>
  <c r="A634" i="37"/>
  <c r="A633" i="37"/>
  <c r="A632" i="37"/>
  <c r="A631" i="37"/>
  <c r="A630" i="37"/>
  <c r="A629" i="37"/>
  <c r="A628" i="37"/>
  <c r="A627" i="37"/>
  <c r="A626" i="37"/>
  <c r="A625" i="37"/>
  <c r="A624" i="37"/>
  <c r="A623" i="37"/>
  <c r="A622" i="37"/>
  <c r="A621" i="37"/>
  <c r="A620" i="37"/>
  <c r="A619" i="37"/>
  <c r="A618" i="37"/>
  <c r="A617" i="37"/>
  <c r="A616" i="37"/>
  <c r="A615" i="37"/>
  <c r="A614" i="37"/>
  <c r="A613" i="37"/>
  <c r="A612" i="37"/>
  <c r="A611" i="37"/>
  <c r="A610" i="37"/>
  <c r="A609" i="37"/>
  <c r="A608" i="37"/>
  <c r="A607" i="37"/>
  <c r="A606" i="37"/>
  <c r="A605" i="37"/>
  <c r="A604" i="37"/>
  <c r="A603" i="37"/>
  <c r="A602" i="37"/>
  <c r="A601" i="37"/>
  <c r="A600" i="37"/>
  <c r="A599" i="37"/>
  <c r="A598" i="37"/>
  <c r="A597" i="37"/>
  <c r="A596" i="37"/>
  <c r="A595" i="37"/>
  <c r="A594" i="37"/>
  <c r="A593" i="37"/>
  <c r="A592" i="37"/>
  <c r="A591" i="37"/>
  <c r="A590" i="37"/>
  <c r="A589" i="37"/>
  <c r="A588" i="37"/>
  <c r="A587" i="37"/>
  <c r="A586" i="37"/>
  <c r="A585" i="37"/>
  <c r="A584" i="37"/>
  <c r="A583" i="37"/>
  <c r="A582" i="37"/>
  <c r="A581" i="37"/>
  <c r="A580" i="37"/>
  <c r="A579" i="37"/>
  <c r="A578" i="37"/>
  <c r="A577" i="37"/>
  <c r="A576" i="37"/>
  <c r="A575" i="37"/>
  <c r="A574" i="37"/>
  <c r="A573" i="37"/>
  <c r="A572" i="37"/>
  <c r="A571" i="37"/>
  <c r="A570" i="37"/>
  <c r="A569" i="37"/>
  <c r="A568" i="37"/>
  <c r="A567" i="37"/>
  <c r="A566" i="37"/>
  <c r="A565" i="37"/>
  <c r="A564" i="37"/>
  <c r="A563" i="37"/>
  <c r="A562" i="37"/>
  <c r="A561" i="37"/>
  <c r="A560" i="37"/>
  <c r="A559" i="37"/>
  <c r="A558" i="37"/>
  <c r="A557" i="37"/>
  <c r="A556" i="37"/>
  <c r="A555" i="37"/>
  <c r="A554" i="37"/>
  <c r="A553" i="37"/>
  <c r="A552" i="37"/>
  <c r="A551" i="37"/>
  <c r="A550" i="37"/>
  <c r="A549" i="37"/>
  <c r="A548" i="37"/>
  <c r="A547" i="37"/>
  <c r="A546" i="37"/>
  <c r="A545" i="37"/>
  <c r="A544" i="37"/>
  <c r="A543" i="37"/>
  <c r="A542" i="37"/>
  <c r="A541" i="37"/>
  <c r="A540" i="37"/>
  <c r="A539" i="37"/>
  <c r="A538" i="37"/>
  <c r="A537" i="37"/>
  <c r="A536" i="37"/>
  <c r="A535" i="37"/>
  <c r="A534" i="37"/>
  <c r="A533" i="37"/>
  <c r="A532" i="37"/>
  <c r="A531" i="37"/>
  <c r="A530" i="37"/>
  <c r="A529" i="37"/>
  <c r="A528" i="37"/>
  <c r="A527" i="37"/>
  <c r="A526" i="37"/>
  <c r="A525" i="37"/>
  <c r="A524" i="37"/>
  <c r="A523" i="37"/>
  <c r="A522" i="37"/>
  <c r="A521" i="37"/>
  <c r="A520" i="37"/>
  <c r="A519" i="37"/>
  <c r="A518" i="37"/>
  <c r="A517" i="37"/>
  <c r="A516" i="37"/>
  <c r="A515" i="37"/>
  <c r="A514" i="37"/>
  <c r="A513" i="37"/>
  <c r="A512" i="37"/>
  <c r="A511" i="37"/>
  <c r="A510" i="37"/>
  <c r="A509" i="37"/>
  <c r="A508" i="37"/>
  <c r="A507" i="37"/>
  <c r="A506" i="37"/>
  <c r="A505" i="37"/>
  <c r="A504" i="37"/>
  <c r="A503" i="37"/>
  <c r="A502" i="37"/>
  <c r="A501" i="37"/>
  <c r="A500" i="37"/>
  <c r="A499" i="37"/>
  <c r="A498" i="37"/>
  <c r="A497" i="37"/>
  <c r="A496" i="37"/>
  <c r="A495" i="37"/>
  <c r="A494" i="37"/>
  <c r="A493" i="37"/>
  <c r="A492" i="37"/>
  <c r="A491" i="37"/>
  <c r="A490" i="37"/>
  <c r="A489" i="37"/>
  <c r="A488" i="37"/>
  <c r="A487" i="37"/>
  <c r="A486" i="37"/>
  <c r="A485" i="37"/>
  <c r="A484" i="37"/>
  <c r="A483" i="37"/>
  <c r="A482" i="37"/>
  <c r="A481" i="37"/>
  <c r="A480" i="37"/>
  <c r="A479" i="37"/>
  <c r="A478" i="37"/>
  <c r="A477" i="37"/>
  <c r="A476" i="37"/>
  <c r="A475" i="37"/>
  <c r="A474" i="37"/>
  <c r="A473" i="37"/>
  <c r="A472" i="37"/>
  <c r="A471" i="37"/>
  <c r="A470" i="37"/>
  <c r="A469" i="37"/>
  <c r="A468" i="37"/>
  <c r="A467" i="37"/>
  <c r="A466" i="37"/>
  <c r="A465" i="37"/>
  <c r="A464" i="37"/>
  <c r="A463" i="37"/>
  <c r="A462" i="37"/>
  <c r="A461" i="37"/>
  <c r="A460" i="37"/>
  <c r="A459" i="37"/>
  <c r="A458" i="37"/>
  <c r="A457" i="37"/>
  <c r="A456" i="37"/>
  <c r="A455" i="37"/>
  <c r="A454" i="37"/>
  <c r="A453" i="37"/>
  <c r="A452" i="37"/>
  <c r="A451" i="37"/>
  <c r="A450" i="37"/>
  <c r="A449" i="37"/>
  <c r="A448" i="37"/>
  <c r="A447" i="37"/>
  <c r="A446" i="37"/>
  <c r="A445" i="37"/>
  <c r="A444" i="37"/>
  <c r="A443" i="37"/>
  <c r="A442" i="37"/>
  <c r="A441" i="37"/>
  <c r="A440" i="37"/>
  <c r="A439" i="37"/>
  <c r="A438" i="37"/>
  <c r="A437" i="37"/>
  <c r="A436" i="37"/>
  <c r="A435" i="37"/>
  <c r="A434" i="37"/>
  <c r="A433" i="37"/>
  <c r="A432" i="37"/>
  <c r="A431" i="37"/>
  <c r="A430" i="37"/>
  <c r="A429" i="37"/>
  <c r="A428" i="37"/>
  <c r="A427" i="37"/>
  <c r="A426" i="37"/>
  <c r="A425" i="37"/>
  <c r="A424" i="37"/>
  <c r="A423" i="37"/>
  <c r="A422" i="37"/>
  <c r="A421" i="37"/>
  <c r="A420" i="37"/>
  <c r="A419" i="37"/>
  <c r="A418" i="37"/>
  <c r="A417" i="37"/>
  <c r="A416" i="37"/>
  <c r="A415" i="37"/>
  <c r="A414" i="37"/>
  <c r="A413" i="37"/>
  <c r="A412" i="37"/>
  <c r="A411" i="37"/>
  <c r="A410" i="37"/>
  <c r="A409" i="37"/>
  <c r="A408" i="37"/>
  <c r="A407" i="37"/>
  <c r="A406" i="37"/>
  <c r="A405" i="37"/>
  <c r="A404" i="37"/>
  <c r="A403" i="37"/>
  <c r="A402" i="37"/>
  <c r="A401" i="37"/>
  <c r="A400" i="37"/>
  <c r="A399" i="37"/>
  <c r="A398" i="37"/>
  <c r="A397" i="37"/>
  <c r="A396" i="37"/>
  <c r="A395" i="37"/>
  <c r="A394" i="37"/>
  <c r="A393" i="37"/>
  <c r="A392" i="37"/>
  <c r="A391" i="37"/>
  <c r="A390" i="37"/>
  <c r="A389" i="37"/>
  <c r="A388" i="37"/>
  <c r="A387" i="37"/>
  <c r="A386" i="37"/>
  <c r="A385" i="37"/>
  <c r="A384" i="37"/>
  <c r="A383" i="37"/>
  <c r="A382" i="37"/>
  <c r="A381" i="37"/>
  <c r="A380" i="37"/>
  <c r="A379" i="37"/>
  <c r="A378" i="37"/>
  <c r="A377" i="37"/>
  <c r="A376" i="37"/>
  <c r="A375" i="37"/>
  <c r="A374" i="37"/>
  <c r="A373" i="37"/>
  <c r="A372" i="37"/>
  <c r="A371" i="37"/>
  <c r="A370" i="37"/>
  <c r="A369" i="37"/>
  <c r="A368" i="37"/>
  <c r="A367" i="37"/>
  <c r="A366" i="37"/>
  <c r="A365" i="37"/>
  <c r="A364" i="37"/>
  <c r="A363" i="37"/>
  <c r="A362" i="37"/>
  <c r="A361" i="37"/>
  <c r="A360" i="37"/>
  <c r="A359" i="37"/>
  <c r="A358" i="37"/>
  <c r="A357" i="37"/>
  <c r="A356" i="37"/>
  <c r="A355" i="37"/>
  <c r="A354" i="37"/>
  <c r="A353" i="37"/>
  <c r="A352" i="37"/>
  <c r="A351" i="37"/>
  <c r="A350" i="37"/>
  <c r="A349" i="37"/>
  <c r="A348" i="37"/>
  <c r="A347" i="37"/>
  <c r="A346" i="37"/>
  <c r="A345" i="37"/>
  <c r="A344" i="37"/>
  <c r="A343" i="37"/>
  <c r="A342" i="37"/>
  <c r="A341" i="37"/>
  <c r="A340" i="37"/>
  <c r="A339" i="37"/>
  <c r="A338" i="37"/>
  <c r="A337" i="37"/>
  <c r="A336" i="37"/>
  <c r="A335" i="37"/>
  <c r="A334" i="37"/>
  <c r="A333" i="37"/>
  <c r="A332" i="37"/>
  <c r="A331" i="37"/>
  <c r="A330" i="37"/>
  <c r="A329" i="37"/>
  <c r="A328" i="37"/>
  <c r="A327" i="37"/>
  <c r="A326" i="37"/>
  <c r="A325" i="37"/>
  <c r="A324" i="37"/>
  <c r="A323" i="37"/>
  <c r="A322" i="37"/>
  <c r="A321" i="37"/>
  <c r="A320" i="37"/>
  <c r="A319" i="37"/>
  <c r="A318" i="37"/>
  <c r="A317" i="37"/>
  <c r="A316" i="37"/>
  <c r="A315" i="37"/>
  <c r="A314" i="37"/>
  <c r="A313" i="37"/>
  <c r="A312" i="37"/>
  <c r="A311" i="37"/>
  <c r="A310" i="37"/>
  <c r="A309" i="37"/>
  <c r="A308" i="37"/>
  <c r="A307" i="37"/>
  <c r="A306" i="37"/>
  <c r="A305" i="37"/>
  <c r="A304" i="37"/>
  <c r="A303" i="37"/>
  <c r="A302" i="37"/>
  <c r="A301" i="37"/>
  <c r="A300" i="37"/>
  <c r="A299" i="37"/>
  <c r="A298" i="37"/>
  <c r="A297" i="37"/>
  <c r="A296" i="37"/>
  <c r="A295" i="37"/>
  <c r="A294" i="37"/>
  <c r="A293" i="37"/>
  <c r="A292" i="37"/>
  <c r="A291" i="37"/>
  <c r="A290" i="37"/>
  <c r="A289" i="37"/>
  <c r="A288" i="37"/>
  <c r="A287" i="37"/>
  <c r="A286" i="37"/>
  <c r="A285" i="37"/>
  <c r="A284" i="37"/>
  <c r="A283" i="37"/>
  <c r="A282" i="37"/>
  <c r="A281" i="37"/>
  <c r="A280" i="37"/>
  <c r="A279" i="37"/>
  <c r="A278" i="37"/>
  <c r="A277" i="37"/>
  <c r="A276" i="37"/>
  <c r="A275" i="37"/>
  <c r="A274" i="37"/>
  <c r="A273" i="37"/>
  <c r="A272" i="37"/>
  <c r="A271" i="37"/>
  <c r="A270" i="37"/>
  <c r="A269" i="37"/>
  <c r="A268" i="37"/>
  <c r="A267" i="37"/>
  <c r="A266" i="37"/>
  <c r="A265" i="37"/>
  <c r="A264" i="37"/>
  <c r="A263" i="37"/>
  <c r="A262" i="37"/>
  <c r="A261" i="37"/>
  <c r="A260" i="37"/>
  <c r="A259" i="37"/>
  <c r="A258" i="37"/>
  <c r="A257" i="37"/>
  <c r="A256" i="37"/>
  <c r="A255" i="37"/>
  <c r="A254" i="37"/>
  <c r="A253" i="37"/>
  <c r="A252" i="37"/>
  <c r="A251" i="37"/>
  <c r="A250" i="37"/>
  <c r="A249" i="37"/>
  <c r="A248" i="37"/>
  <c r="A247" i="37"/>
  <c r="A246" i="37"/>
  <c r="A245" i="37"/>
  <c r="A244" i="37"/>
  <c r="A243" i="37"/>
  <c r="A242" i="37"/>
  <c r="A241" i="37"/>
  <c r="A240" i="37"/>
  <c r="A239" i="37"/>
  <c r="A238" i="37"/>
  <c r="A237" i="37"/>
  <c r="A236" i="37"/>
  <c r="A235" i="37"/>
  <c r="A234" i="37"/>
  <c r="A233" i="37"/>
  <c r="A232" i="37"/>
  <c r="A231" i="37"/>
  <c r="A230" i="37"/>
  <c r="A229" i="37"/>
  <c r="A228" i="37"/>
  <c r="A227" i="37"/>
  <c r="A226" i="37"/>
  <c r="A225" i="37"/>
  <c r="A224" i="37"/>
  <c r="A223" i="37"/>
  <c r="A222" i="37"/>
  <c r="A221" i="37"/>
  <c r="A220" i="37"/>
  <c r="A219" i="37"/>
  <c r="A218" i="37"/>
  <c r="A217" i="37"/>
  <c r="A216" i="37"/>
  <c r="A215" i="37"/>
  <c r="A214" i="37"/>
  <c r="A213" i="37"/>
  <c r="A212" i="37"/>
  <c r="A211" i="37"/>
  <c r="A210" i="37"/>
  <c r="A209" i="37"/>
  <c r="A208" i="37"/>
  <c r="A207" i="37"/>
  <c r="A206" i="37"/>
  <c r="A205" i="37"/>
  <c r="A204" i="37"/>
  <c r="A203" i="37"/>
  <c r="A202" i="37"/>
  <c r="A201" i="37"/>
  <c r="A200" i="37"/>
  <c r="A199" i="37"/>
  <c r="A198" i="37"/>
  <c r="A197" i="37"/>
  <c r="A196" i="37"/>
  <c r="A195" i="37"/>
  <c r="A194" i="37"/>
  <c r="A193" i="37"/>
  <c r="A192" i="37"/>
  <c r="A191" i="37"/>
  <c r="A190" i="37"/>
  <c r="A189" i="37"/>
  <c r="A188" i="37"/>
  <c r="A187" i="37"/>
  <c r="A186" i="37"/>
  <c r="A185" i="37"/>
  <c r="A184" i="37"/>
  <c r="A183" i="37"/>
  <c r="A182" i="37"/>
  <c r="A181" i="37"/>
  <c r="A180" i="37"/>
  <c r="A179" i="37"/>
  <c r="A178" i="37"/>
  <c r="A177" i="37"/>
  <c r="A176" i="37"/>
  <c r="A175" i="37"/>
  <c r="A174" i="37"/>
  <c r="A173" i="37"/>
  <c r="A172" i="37"/>
  <c r="A171" i="37"/>
  <c r="A170" i="37"/>
  <c r="A169" i="37"/>
  <c r="A168" i="37"/>
  <c r="A167" i="37"/>
  <c r="A166" i="37"/>
  <c r="A165" i="37"/>
  <c r="A164" i="37"/>
  <c r="A163" i="37"/>
  <c r="A162" i="37"/>
  <c r="A161" i="37"/>
  <c r="A160" i="37"/>
  <c r="A159" i="37"/>
  <c r="A158" i="37"/>
  <c r="A157" i="37"/>
  <c r="A156" i="37"/>
  <c r="A155" i="37"/>
  <c r="A154" i="37"/>
  <c r="A153" i="37"/>
  <c r="A152" i="37"/>
  <c r="A151" i="37"/>
  <c r="A150" i="37"/>
  <c r="A149" i="37"/>
  <c r="A148" i="37"/>
  <c r="A147" i="37"/>
  <c r="A146" i="37"/>
  <c r="A145" i="37"/>
  <c r="A144" i="37"/>
  <c r="A143" i="37"/>
  <c r="A142" i="37"/>
  <c r="A141" i="37"/>
  <c r="A140" i="37"/>
  <c r="A139" i="37"/>
  <c r="A138" i="37"/>
  <c r="A137" i="37"/>
  <c r="A136" i="37"/>
  <c r="A135" i="37"/>
  <c r="A134" i="37"/>
  <c r="A133" i="37"/>
  <c r="A132" i="37"/>
  <c r="A131" i="37"/>
  <c r="A130" i="37"/>
  <c r="A129" i="37"/>
  <c r="A128" i="37"/>
  <c r="A127" i="37"/>
  <c r="A126" i="37"/>
  <c r="A125" i="37"/>
  <c r="A124" i="37"/>
  <c r="A123" i="37"/>
  <c r="A122" i="37"/>
  <c r="A121" i="37"/>
  <c r="A120" i="37"/>
  <c r="A119" i="37"/>
  <c r="A118" i="37"/>
  <c r="A117" i="37"/>
  <c r="A116" i="37"/>
  <c r="A115" i="37"/>
  <c r="A114" i="37"/>
  <c r="A113" i="37"/>
  <c r="A112" i="37"/>
  <c r="A111" i="37"/>
  <c r="A110" i="37"/>
  <c r="A109" i="37"/>
  <c r="A108" i="37"/>
  <c r="A107" i="37"/>
  <c r="A106" i="37"/>
  <c r="A105" i="37"/>
  <c r="A104" i="37"/>
  <c r="A103" i="37"/>
  <c r="A102" i="37"/>
  <c r="A101" i="37"/>
  <c r="A100" i="37"/>
  <c r="A99" i="37"/>
  <c r="A98" i="37"/>
  <c r="A97" i="37"/>
  <c r="A96" i="37"/>
  <c r="A95" i="37"/>
  <c r="A94" i="37"/>
  <c r="A93" i="37"/>
  <c r="A92" i="37"/>
  <c r="A91" i="37"/>
  <c r="A90" i="37"/>
  <c r="A89" i="37"/>
  <c r="A88" i="37"/>
  <c r="A87" i="37"/>
  <c r="A86" i="37"/>
  <c r="A85" i="37"/>
  <c r="A84" i="37"/>
  <c r="A83" i="37"/>
  <c r="A82" i="37"/>
  <c r="A81" i="37"/>
  <c r="A80" i="37"/>
  <c r="A79" i="37"/>
  <c r="A78" i="37"/>
  <c r="A77" i="37"/>
  <c r="A76" i="37"/>
  <c r="A75" i="37"/>
  <c r="A74" i="37"/>
  <c r="A73" i="37"/>
  <c r="A72"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I20" i="6" l="1"/>
  <c r="E11" i="46" l="1"/>
  <c r="H10" i="45"/>
  <c r="D11" i="46"/>
  <c r="F10" i="45"/>
  <c r="F10" i="37"/>
  <c r="AO1014" i="37"/>
  <c r="AO1013" i="37"/>
  <c r="AO1012" i="37"/>
  <c r="AO1011" i="37"/>
  <c r="AO1010" i="37"/>
  <c r="AO1009" i="37"/>
  <c r="AO1008" i="37"/>
  <c r="AO1007" i="37"/>
  <c r="AO1006" i="37"/>
  <c r="AO1005" i="37"/>
  <c r="AO1004" i="37"/>
  <c r="AO1003" i="37"/>
  <c r="AO1002" i="37"/>
  <c r="AO1001" i="37"/>
  <c r="AO1000" i="37"/>
  <c r="AO999" i="37"/>
  <c r="AO998" i="37"/>
  <c r="AO997" i="37"/>
  <c r="AO996" i="37"/>
  <c r="AO995" i="37"/>
  <c r="AO994" i="37"/>
  <c r="AO993" i="37"/>
  <c r="AO992" i="37"/>
  <c r="AO991" i="37"/>
  <c r="AO990" i="37"/>
  <c r="AO989" i="37"/>
  <c r="AO988" i="37"/>
  <c r="AO987" i="37"/>
  <c r="AO986" i="37"/>
  <c r="AO985" i="37"/>
  <c r="AO984" i="37"/>
  <c r="AO983" i="37"/>
  <c r="AO982" i="37"/>
  <c r="AO981" i="37"/>
  <c r="AO980" i="37"/>
  <c r="AO979" i="37"/>
  <c r="AO978" i="37"/>
  <c r="AO977" i="37"/>
  <c r="AO976" i="37"/>
  <c r="AO975" i="37"/>
  <c r="AO974" i="37"/>
  <c r="AO973" i="37"/>
  <c r="AO972" i="37"/>
  <c r="AO971" i="37"/>
  <c r="AO970" i="37"/>
  <c r="AO969" i="37"/>
  <c r="AO968" i="37"/>
  <c r="AO967" i="37"/>
  <c r="AO966" i="37"/>
  <c r="AO965" i="37"/>
  <c r="AO964" i="37"/>
  <c r="AO963" i="37"/>
  <c r="AO962" i="37"/>
  <c r="AO961" i="37"/>
  <c r="AO960" i="37"/>
  <c r="AO959" i="37"/>
  <c r="AO958" i="37"/>
  <c r="AO957" i="37"/>
  <c r="AO956" i="37"/>
  <c r="AO955" i="37"/>
  <c r="AO954" i="37"/>
  <c r="AO953" i="37"/>
  <c r="AO952" i="37"/>
  <c r="AO951" i="37"/>
  <c r="AO950" i="37"/>
  <c r="AO949" i="37"/>
  <c r="AO948" i="37"/>
  <c r="AO947" i="37"/>
  <c r="AO946" i="37"/>
  <c r="AO945" i="37"/>
  <c r="AO944" i="37"/>
  <c r="AO943" i="37"/>
  <c r="AO942" i="37"/>
  <c r="AO941" i="37"/>
  <c r="AO940" i="37"/>
  <c r="AO939" i="37"/>
  <c r="AO938" i="37"/>
  <c r="AO937" i="37"/>
  <c r="AO936" i="37"/>
  <c r="AO935" i="37"/>
  <c r="AO934" i="37"/>
  <c r="AO933" i="37"/>
  <c r="AO932" i="37"/>
  <c r="AO931" i="37"/>
  <c r="AO930" i="37"/>
  <c r="AO929" i="37"/>
  <c r="AO928" i="37"/>
  <c r="AO927" i="37"/>
  <c r="AO926" i="37"/>
  <c r="AO925" i="37"/>
  <c r="AO924" i="37"/>
  <c r="AO923" i="37"/>
  <c r="AO922" i="37"/>
  <c r="AO921" i="37"/>
  <c r="AO920" i="37"/>
  <c r="AO919" i="37"/>
  <c r="AO918" i="37"/>
  <c r="AO917" i="37"/>
  <c r="AO916" i="37"/>
  <c r="AO915" i="37"/>
  <c r="AO914" i="37"/>
  <c r="AO913" i="37"/>
  <c r="AO912" i="37"/>
  <c r="AO911" i="37"/>
  <c r="AO910" i="37"/>
  <c r="AO909" i="37"/>
  <c r="AO908" i="37"/>
  <c r="AO907" i="37"/>
  <c r="AO906" i="37"/>
  <c r="AO905" i="37"/>
  <c r="AO904" i="37"/>
  <c r="AO903" i="37"/>
  <c r="AO902" i="37"/>
  <c r="AO901" i="37"/>
  <c r="AO900" i="37"/>
  <c r="AO899" i="37"/>
  <c r="AO898" i="37"/>
  <c r="AO897" i="37"/>
  <c r="AO896" i="37"/>
  <c r="AO895" i="37"/>
  <c r="AO894" i="37"/>
  <c r="AO893" i="37"/>
  <c r="AO892" i="37"/>
  <c r="AO891" i="37"/>
  <c r="AO890" i="37"/>
  <c r="AO889" i="37"/>
  <c r="AO888" i="37"/>
  <c r="AO887" i="37"/>
  <c r="AO886" i="37"/>
  <c r="AO885" i="37"/>
  <c r="AO884" i="37"/>
  <c r="AO883" i="37"/>
  <c r="AO882" i="37"/>
  <c r="AO881" i="37"/>
  <c r="AO880" i="37"/>
  <c r="AO879" i="37"/>
  <c r="AO878" i="37"/>
  <c r="AO877" i="37"/>
  <c r="AO876" i="37"/>
  <c r="AO875" i="37"/>
  <c r="AO874" i="37"/>
  <c r="AO873" i="37"/>
  <c r="AO872" i="37"/>
  <c r="AO871" i="37"/>
  <c r="AO870" i="37"/>
  <c r="AO869" i="37"/>
  <c r="AO868" i="37"/>
  <c r="AO867" i="37"/>
  <c r="AO866" i="37"/>
  <c r="AO865" i="37"/>
  <c r="AO864" i="37"/>
  <c r="AO863" i="37"/>
  <c r="AO862" i="37"/>
  <c r="AO861" i="37"/>
  <c r="AO860" i="37"/>
  <c r="AO859" i="37"/>
  <c r="AO858" i="37"/>
  <c r="AO857" i="37"/>
  <c r="AO856" i="37"/>
  <c r="AO855" i="37"/>
  <c r="AO854" i="37"/>
  <c r="AO853" i="37"/>
  <c r="AO852" i="37"/>
  <c r="AO851" i="37"/>
  <c r="AO850" i="37"/>
  <c r="AO849" i="37"/>
  <c r="AO848" i="37"/>
  <c r="AO847" i="37"/>
  <c r="AO846" i="37"/>
  <c r="AO845" i="37"/>
  <c r="AO844" i="37"/>
  <c r="AO843" i="37"/>
  <c r="AO842" i="37"/>
  <c r="AO841" i="37"/>
  <c r="AO840" i="37"/>
  <c r="AO839" i="37"/>
  <c r="AO838" i="37"/>
  <c r="AO837" i="37"/>
  <c r="AO836" i="37"/>
  <c r="AO835" i="37"/>
  <c r="AO834" i="37"/>
  <c r="AO833" i="37"/>
  <c r="AO832" i="37"/>
  <c r="AO831" i="37"/>
  <c r="AO830" i="37"/>
  <c r="AO829" i="37"/>
  <c r="AO828" i="37"/>
  <c r="AO827" i="37"/>
  <c r="AO826" i="37"/>
  <c r="AO825" i="37"/>
  <c r="AO824" i="37"/>
  <c r="AO823" i="37"/>
  <c r="AO822" i="37"/>
  <c r="AO821" i="37"/>
  <c r="AO820" i="37"/>
  <c r="AO819" i="37"/>
  <c r="AO818" i="37"/>
  <c r="AO817" i="37"/>
  <c r="AO816" i="37"/>
  <c r="AO815" i="37"/>
  <c r="AO814" i="37"/>
  <c r="AO813" i="37"/>
  <c r="AO812" i="37"/>
  <c r="AO811" i="37"/>
  <c r="AO810" i="37"/>
  <c r="AO809" i="37"/>
  <c r="AO808" i="37"/>
  <c r="AO807" i="37"/>
  <c r="AO806" i="37"/>
  <c r="AO805" i="37"/>
  <c r="AO804" i="37"/>
  <c r="AO803" i="37"/>
  <c r="AO802" i="37"/>
  <c r="AO801" i="37"/>
  <c r="AO800" i="37"/>
  <c r="AO799" i="37"/>
  <c r="AO798" i="37"/>
  <c r="AO797" i="37"/>
  <c r="AO796" i="37"/>
  <c r="AO795" i="37"/>
  <c r="AO794" i="37"/>
  <c r="AO793" i="37"/>
  <c r="AO792" i="37"/>
  <c r="AO791" i="37"/>
  <c r="AO790" i="37"/>
  <c r="AO789" i="37"/>
  <c r="AO788" i="37"/>
  <c r="AO787" i="37"/>
  <c r="AO786" i="37"/>
  <c r="AO785" i="37"/>
  <c r="AO784" i="37"/>
  <c r="AO783" i="37"/>
  <c r="AO782" i="37"/>
  <c r="AO781" i="37"/>
  <c r="AO780" i="37"/>
  <c r="AO779" i="37"/>
  <c r="AO778" i="37"/>
  <c r="AO777" i="37"/>
  <c r="AO776" i="37"/>
  <c r="AO775" i="37"/>
  <c r="AO774" i="37"/>
  <c r="AO773" i="37"/>
  <c r="AO772" i="37"/>
  <c r="AO771" i="37"/>
  <c r="AO770" i="37"/>
  <c r="AO769" i="37"/>
  <c r="AO768" i="37"/>
  <c r="AO767" i="37"/>
  <c r="AO766" i="37"/>
  <c r="AO765" i="37"/>
  <c r="AO764" i="37"/>
  <c r="AO763" i="37"/>
  <c r="AO762" i="37"/>
  <c r="AO761" i="37"/>
  <c r="AO760" i="37"/>
  <c r="AO759" i="37"/>
  <c r="AO758" i="37"/>
  <c r="AO757" i="37"/>
  <c r="AO756" i="37"/>
  <c r="AO755" i="37"/>
  <c r="AO754" i="37"/>
  <c r="AO753" i="37"/>
  <c r="AO752" i="37"/>
  <c r="AO751" i="37"/>
  <c r="AO750" i="37"/>
  <c r="AO749" i="37"/>
  <c r="AO748" i="37"/>
  <c r="AO747" i="37"/>
  <c r="AO746" i="37"/>
  <c r="AO745" i="37"/>
  <c r="AO744" i="37"/>
  <c r="AO743" i="37"/>
  <c r="AO742" i="37"/>
  <c r="AO741" i="37"/>
  <c r="AO740" i="37"/>
  <c r="AO739" i="37"/>
  <c r="AO738" i="37"/>
  <c r="AO737" i="37"/>
  <c r="AO736" i="37"/>
  <c r="AO735" i="37"/>
  <c r="AO734" i="37"/>
  <c r="AO733" i="37"/>
  <c r="AO732" i="37"/>
  <c r="AO731" i="37"/>
  <c r="AO730" i="37"/>
  <c r="AO729" i="37"/>
  <c r="AO728" i="37"/>
  <c r="AO727" i="37"/>
  <c r="AO726" i="37"/>
  <c r="AO725" i="37"/>
  <c r="AO724" i="37"/>
  <c r="AO723" i="37"/>
  <c r="AO722" i="37"/>
  <c r="AO721" i="37"/>
  <c r="AO720" i="37"/>
  <c r="AO719" i="37"/>
  <c r="AO718" i="37"/>
  <c r="AO717" i="37"/>
  <c r="AO716" i="37"/>
  <c r="AO715" i="37"/>
  <c r="AO714" i="37"/>
  <c r="AO713" i="37"/>
  <c r="AO712" i="37"/>
  <c r="AO711" i="37"/>
  <c r="AO710" i="37"/>
  <c r="AO709" i="37"/>
  <c r="AO708" i="37"/>
  <c r="AO707" i="37"/>
  <c r="AO706" i="37"/>
  <c r="AO705" i="37"/>
  <c r="AO704" i="37"/>
  <c r="AO703" i="37"/>
  <c r="AO702" i="37"/>
  <c r="AO701" i="37"/>
  <c r="AO700" i="37"/>
  <c r="AO699" i="37"/>
  <c r="AO698" i="37"/>
  <c r="AO697" i="37"/>
  <c r="AO696" i="37"/>
  <c r="AO695" i="37"/>
  <c r="AO694" i="37"/>
  <c r="AO693" i="37"/>
  <c r="AO692" i="37"/>
  <c r="AO691" i="37"/>
  <c r="AO690" i="37"/>
  <c r="AO689" i="37"/>
  <c r="AO688" i="37"/>
  <c r="AO687" i="37"/>
  <c r="AO686" i="37"/>
  <c r="AO685" i="37"/>
  <c r="AO684" i="37"/>
  <c r="AO683" i="37"/>
  <c r="AO682" i="37"/>
  <c r="AO681" i="37"/>
  <c r="AO680" i="37"/>
  <c r="AO679" i="37"/>
  <c r="AO678" i="37"/>
  <c r="AO677" i="37"/>
  <c r="AO676" i="37"/>
  <c r="AO675" i="37"/>
  <c r="AO674" i="37"/>
  <c r="AO673" i="37"/>
  <c r="AO672" i="37"/>
  <c r="AO671" i="37"/>
  <c r="AO670" i="37"/>
  <c r="AO669" i="37"/>
  <c r="AO668" i="37"/>
  <c r="AO667" i="37"/>
  <c r="AO666" i="37"/>
  <c r="AO665" i="37"/>
  <c r="AO664" i="37"/>
  <c r="AO663" i="37"/>
  <c r="AO662" i="37"/>
  <c r="AO661" i="37"/>
  <c r="AO660" i="37"/>
  <c r="AO659" i="37"/>
  <c r="AO658" i="37"/>
  <c r="AO657" i="37"/>
  <c r="AO656" i="37"/>
  <c r="AO655" i="37"/>
  <c r="AO654" i="37"/>
  <c r="AO653" i="37"/>
  <c r="AO652" i="37"/>
  <c r="AO651" i="37"/>
  <c r="AO650" i="37"/>
  <c r="AO649" i="37"/>
  <c r="AO648" i="37"/>
  <c r="AO647" i="37"/>
  <c r="AO646" i="37"/>
  <c r="AO645" i="37"/>
  <c r="AO644" i="37"/>
  <c r="AO643" i="37"/>
  <c r="AO642" i="37"/>
  <c r="AO641" i="37"/>
  <c r="AO640" i="37"/>
  <c r="AO639" i="37"/>
  <c r="AO638" i="37"/>
  <c r="AO637" i="37"/>
  <c r="AO636" i="37"/>
  <c r="AO635" i="37"/>
  <c r="AO634" i="37"/>
  <c r="AO633" i="37"/>
  <c r="AO632" i="37"/>
  <c r="AO631" i="37"/>
  <c r="AO630" i="37"/>
  <c r="AO629" i="37"/>
  <c r="AO628" i="37"/>
  <c r="AO627" i="37"/>
  <c r="AO626" i="37"/>
  <c r="AO625" i="37"/>
  <c r="AO624" i="37"/>
  <c r="AO623" i="37"/>
  <c r="AO622" i="37"/>
  <c r="AO621" i="37"/>
  <c r="AO620" i="37"/>
  <c r="AO619" i="37"/>
  <c r="AO618" i="37"/>
  <c r="AO617" i="37"/>
  <c r="AO616" i="37"/>
  <c r="AO615" i="37"/>
  <c r="AO614" i="37"/>
  <c r="AO613" i="37"/>
  <c r="AO612" i="37"/>
  <c r="AO611" i="37"/>
  <c r="AO610" i="37"/>
  <c r="AO609" i="37"/>
  <c r="AO608" i="37"/>
  <c r="AO607" i="37"/>
  <c r="AO606" i="37"/>
  <c r="AO605" i="37"/>
  <c r="AO604" i="37"/>
  <c r="AO603" i="37"/>
  <c r="AO602" i="37"/>
  <c r="AO601" i="37"/>
  <c r="AO600" i="37"/>
  <c r="AO599" i="37"/>
  <c r="AO598" i="37"/>
  <c r="AO597" i="37"/>
  <c r="AO596" i="37"/>
  <c r="AO595" i="37"/>
  <c r="AO594" i="37"/>
  <c r="AO593" i="37"/>
  <c r="AO592" i="37"/>
  <c r="AO591" i="37"/>
  <c r="AO590" i="37"/>
  <c r="AO589" i="37"/>
  <c r="AO588" i="37"/>
  <c r="AO587" i="37"/>
  <c r="AO586" i="37"/>
  <c r="AO585" i="37"/>
  <c r="AO584" i="37"/>
  <c r="AO583" i="37"/>
  <c r="AO582" i="37"/>
  <c r="AO581" i="37"/>
  <c r="AO580" i="37"/>
  <c r="AO579" i="37"/>
  <c r="AO578" i="37"/>
  <c r="AO577" i="37"/>
  <c r="AO576" i="37"/>
  <c r="AO575" i="37"/>
  <c r="AO574" i="37"/>
  <c r="AO573" i="37"/>
  <c r="AO572" i="37"/>
  <c r="AO571" i="37"/>
  <c r="AO570" i="37"/>
  <c r="AO569" i="37"/>
  <c r="AO568" i="37"/>
  <c r="AO567" i="37"/>
  <c r="AO566" i="37"/>
  <c r="AO565" i="37"/>
  <c r="AO564" i="37"/>
  <c r="AO563" i="37"/>
  <c r="AO562" i="37"/>
  <c r="AO561" i="37"/>
  <c r="AO560" i="37"/>
  <c r="AO559" i="37"/>
  <c r="AO558" i="37"/>
  <c r="AO557" i="37"/>
  <c r="AO556" i="37"/>
  <c r="AO555" i="37"/>
  <c r="AO554" i="37"/>
  <c r="AO553" i="37"/>
  <c r="AO552" i="37"/>
  <c r="AO551" i="37"/>
  <c r="AO550" i="37"/>
  <c r="AO549" i="37"/>
  <c r="AO548" i="37"/>
  <c r="AO547" i="37"/>
  <c r="AO546" i="37"/>
  <c r="AO545" i="37"/>
  <c r="AO544" i="37"/>
  <c r="AO543" i="37"/>
  <c r="AO542" i="37"/>
  <c r="AO541" i="37"/>
  <c r="AO540" i="37"/>
  <c r="AO539" i="37"/>
  <c r="AO538" i="37"/>
  <c r="AO537" i="37"/>
  <c r="AO536" i="37"/>
  <c r="AO535" i="37"/>
  <c r="AO534" i="37"/>
  <c r="AO533" i="37"/>
  <c r="AO532" i="37"/>
  <c r="AO531" i="37"/>
  <c r="AO530" i="37"/>
  <c r="AO529" i="37"/>
  <c r="AO528" i="37"/>
  <c r="AO527" i="37"/>
  <c r="AO526" i="37"/>
  <c r="AO525" i="37"/>
  <c r="AO524" i="37"/>
  <c r="AO523" i="37"/>
  <c r="AO522" i="37"/>
  <c r="AO521" i="37"/>
  <c r="AO520" i="37"/>
  <c r="AO519" i="37"/>
  <c r="AO518" i="37"/>
  <c r="AO517" i="37"/>
  <c r="AO516" i="37"/>
  <c r="AO515" i="37"/>
  <c r="AO514" i="37"/>
  <c r="AO513" i="37"/>
  <c r="AO512" i="37"/>
  <c r="AO511" i="37"/>
  <c r="AO510" i="37"/>
  <c r="AO509" i="37"/>
  <c r="AO508" i="37"/>
  <c r="AO507" i="37"/>
  <c r="AO506" i="37"/>
  <c r="AO505" i="37"/>
  <c r="AO504" i="37"/>
  <c r="AO503" i="37"/>
  <c r="AO502" i="37"/>
  <c r="AO501" i="37"/>
  <c r="AO500" i="37"/>
  <c r="AO499" i="37"/>
  <c r="AO498" i="37"/>
  <c r="AO497" i="37"/>
  <c r="AO496" i="37"/>
  <c r="AO495" i="37"/>
  <c r="AO494" i="37"/>
  <c r="AO493" i="37"/>
  <c r="AO492" i="37"/>
  <c r="AO491" i="37"/>
  <c r="AO490" i="37"/>
  <c r="AO489" i="37"/>
  <c r="AO488" i="37"/>
  <c r="AO487" i="37"/>
  <c r="AO486" i="37"/>
  <c r="AO485" i="37"/>
  <c r="AO484" i="37"/>
  <c r="AO483" i="37"/>
  <c r="AO482" i="37"/>
  <c r="AO481" i="37"/>
  <c r="AO480" i="37"/>
  <c r="AO479" i="37"/>
  <c r="AO478" i="37"/>
  <c r="AO477" i="37"/>
  <c r="AO476" i="37"/>
  <c r="AO475" i="37"/>
  <c r="AO474" i="37"/>
  <c r="AO473" i="37"/>
  <c r="AO472" i="37"/>
  <c r="AO471" i="37"/>
  <c r="AO470" i="37"/>
  <c r="AO469" i="37"/>
  <c r="AO468" i="37"/>
  <c r="AO467" i="37"/>
  <c r="AO466" i="37"/>
  <c r="AO465" i="37"/>
  <c r="AO464" i="37"/>
  <c r="AO463" i="37"/>
  <c r="AO462" i="37"/>
  <c r="AO461" i="37"/>
  <c r="AO460" i="37"/>
  <c r="AO459" i="37"/>
  <c r="AO458" i="37"/>
  <c r="AO457" i="37"/>
  <c r="AO456" i="37"/>
  <c r="AO455" i="37"/>
  <c r="AO454" i="37"/>
  <c r="AO453" i="37"/>
  <c r="AO452" i="37"/>
  <c r="AO451" i="37"/>
  <c r="AO450" i="37"/>
  <c r="AO449" i="37"/>
  <c r="AO448" i="37"/>
  <c r="AO447" i="37"/>
  <c r="AO446" i="37"/>
  <c r="AO445" i="37"/>
  <c r="AO444" i="37"/>
  <c r="AO443" i="37"/>
  <c r="AO442" i="37"/>
  <c r="AO441" i="37"/>
  <c r="AO440" i="37"/>
  <c r="AO439" i="37"/>
  <c r="AO438" i="37"/>
  <c r="AO437" i="37"/>
  <c r="AO436" i="37"/>
  <c r="AO435" i="37"/>
  <c r="AO434" i="37"/>
  <c r="AO433" i="37"/>
  <c r="AO432" i="37"/>
  <c r="AO431" i="37"/>
  <c r="AO430" i="37"/>
  <c r="AO429" i="37"/>
  <c r="AO428" i="37"/>
  <c r="AO427" i="37"/>
  <c r="AO426" i="37"/>
  <c r="AO425" i="37"/>
  <c r="AO424" i="37"/>
  <c r="AO423" i="37"/>
  <c r="AO422" i="37"/>
  <c r="AO421" i="37"/>
  <c r="AO420" i="37"/>
  <c r="AO419" i="37"/>
  <c r="AO418" i="37"/>
  <c r="AO417" i="37"/>
  <c r="AO416" i="37"/>
  <c r="AO415" i="37"/>
  <c r="AO414" i="37"/>
  <c r="AO413" i="37"/>
  <c r="AO412" i="37"/>
  <c r="AO411" i="37"/>
  <c r="AO410" i="37"/>
  <c r="AO409" i="37"/>
  <c r="AO408" i="37"/>
  <c r="AO407" i="37"/>
  <c r="AO406" i="37"/>
  <c r="AO405" i="37"/>
  <c r="AO404" i="37"/>
  <c r="AO403" i="37"/>
  <c r="AO402" i="37"/>
  <c r="AO401" i="37"/>
  <c r="AO400" i="37"/>
  <c r="AO399" i="37"/>
  <c r="AO398" i="37"/>
  <c r="AO397" i="37"/>
  <c r="AO396" i="37"/>
  <c r="AO395" i="37"/>
  <c r="AO394" i="37"/>
  <c r="AO393" i="37"/>
  <c r="AO392" i="37"/>
  <c r="AO391" i="37"/>
  <c r="AO390" i="37"/>
  <c r="AO389" i="37"/>
  <c r="AO388" i="37"/>
  <c r="AO387" i="37"/>
  <c r="AO386" i="37"/>
  <c r="AO385" i="37"/>
  <c r="AO384" i="37"/>
  <c r="AO383" i="37"/>
  <c r="AO382" i="37"/>
  <c r="AO381" i="37"/>
  <c r="AO380" i="37"/>
  <c r="AO379" i="37"/>
  <c r="AO378" i="37"/>
  <c r="AO377" i="37"/>
  <c r="AO376" i="37"/>
  <c r="AO375" i="37"/>
  <c r="AO374" i="37"/>
  <c r="AO373" i="37"/>
  <c r="AO372" i="37"/>
  <c r="AO371" i="37"/>
  <c r="AO370" i="37"/>
  <c r="AO369" i="37"/>
  <c r="AO368" i="37"/>
  <c r="AO367" i="37"/>
  <c r="AO366" i="37"/>
  <c r="AO365" i="37"/>
  <c r="AO364" i="37"/>
  <c r="AO363" i="37"/>
  <c r="AO362" i="37"/>
  <c r="AO361" i="37"/>
  <c r="AO360" i="37"/>
  <c r="AO359" i="37"/>
  <c r="AO358" i="37"/>
  <c r="AO357" i="37"/>
  <c r="AO356" i="37"/>
  <c r="AO355" i="37"/>
  <c r="AO354" i="37"/>
  <c r="AO353" i="37"/>
  <c r="AO352" i="37"/>
  <c r="AO351" i="37"/>
  <c r="AO350" i="37"/>
  <c r="AO349" i="37"/>
  <c r="AO348" i="37"/>
  <c r="AO347" i="37"/>
  <c r="AO346" i="37"/>
  <c r="AO345" i="37"/>
  <c r="AO344" i="37"/>
  <c r="AO343" i="37"/>
  <c r="AO342" i="37"/>
  <c r="AO341" i="37"/>
  <c r="AO340" i="37"/>
  <c r="AO339" i="37"/>
  <c r="AO338" i="37"/>
  <c r="AO337" i="37"/>
  <c r="AO336" i="37"/>
  <c r="AO335" i="37"/>
  <c r="AO334" i="37"/>
  <c r="AO333" i="37"/>
  <c r="AO332" i="37"/>
  <c r="AO331" i="37"/>
  <c r="AO330" i="37"/>
  <c r="AO329" i="37"/>
  <c r="AO328" i="37"/>
  <c r="AO327" i="37"/>
  <c r="AO326" i="37"/>
  <c r="AO325" i="37"/>
  <c r="AO324" i="37"/>
  <c r="AO323" i="37"/>
  <c r="AO322" i="37"/>
  <c r="AO321" i="37"/>
  <c r="AO320" i="37"/>
  <c r="AO319" i="37"/>
  <c r="AO318" i="37"/>
  <c r="AO317" i="37"/>
  <c r="AO316" i="37"/>
  <c r="AO315" i="37"/>
  <c r="AO314" i="37"/>
  <c r="AO313" i="37"/>
  <c r="AO312" i="37"/>
  <c r="AO311" i="37"/>
  <c r="AO310" i="37"/>
  <c r="AO309" i="37"/>
  <c r="AO308" i="37"/>
  <c r="AO307" i="37"/>
  <c r="AO306" i="37"/>
  <c r="AO305" i="37"/>
  <c r="AO304" i="37"/>
  <c r="AO303" i="37"/>
  <c r="AO302" i="37"/>
  <c r="AO301" i="37"/>
  <c r="AO300" i="37"/>
  <c r="AO299" i="37"/>
  <c r="AO298" i="37"/>
  <c r="AO297" i="37"/>
  <c r="AO296" i="37"/>
  <c r="AO295" i="37"/>
  <c r="AO294" i="37"/>
  <c r="AO293" i="37"/>
  <c r="AO292" i="37"/>
  <c r="AO291" i="37"/>
  <c r="AO290" i="37"/>
  <c r="AO289" i="37"/>
  <c r="AO288" i="37"/>
  <c r="AO287" i="37"/>
  <c r="AO286" i="37"/>
  <c r="AO285" i="37"/>
  <c r="AO284" i="37"/>
  <c r="AO283" i="37"/>
  <c r="AO282" i="37"/>
  <c r="AO281" i="37"/>
  <c r="AO280" i="37"/>
  <c r="AO279" i="37"/>
  <c r="AO278" i="37"/>
  <c r="AO277" i="37"/>
  <c r="AO276" i="37"/>
  <c r="AO275" i="37"/>
  <c r="AO274" i="37"/>
  <c r="AO273" i="37"/>
  <c r="AO272" i="37"/>
  <c r="AO271" i="37"/>
  <c r="AO270" i="37"/>
  <c r="AO269" i="37"/>
  <c r="AO268" i="37"/>
  <c r="AO267" i="37"/>
  <c r="AO266" i="37"/>
  <c r="AO265" i="37"/>
  <c r="AO264" i="37"/>
  <c r="AO263" i="37"/>
  <c r="AO262" i="37"/>
  <c r="AO261" i="37"/>
  <c r="AO260" i="37"/>
  <c r="AO259" i="37"/>
  <c r="AO258" i="37"/>
  <c r="AO257" i="37"/>
  <c r="AO256" i="37"/>
  <c r="AO255" i="37"/>
  <c r="AO254" i="37"/>
  <c r="AO253" i="37"/>
  <c r="AO252" i="37"/>
  <c r="AO251" i="37"/>
  <c r="AO250" i="37"/>
  <c r="AO249" i="37"/>
  <c r="AO248" i="37"/>
  <c r="AO247" i="37"/>
  <c r="AO246" i="37"/>
  <c r="AO245" i="37"/>
  <c r="AO244" i="37"/>
  <c r="AO243" i="37"/>
  <c r="AO242" i="37"/>
  <c r="AO241" i="37"/>
  <c r="AO240" i="37"/>
  <c r="AO239" i="37"/>
  <c r="AO238" i="37"/>
  <c r="AO237" i="37"/>
  <c r="AO236" i="37"/>
  <c r="AO235" i="37"/>
  <c r="AO234" i="37"/>
  <c r="AO233" i="37"/>
  <c r="AO232" i="37"/>
  <c r="AO231" i="37"/>
  <c r="AO230" i="37"/>
  <c r="AO229" i="37"/>
  <c r="AO228" i="37"/>
  <c r="AO227" i="37"/>
  <c r="AO226" i="37"/>
  <c r="AO225" i="37"/>
  <c r="AO224" i="37"/>
  <c r="AO223" i="37"/>
  <c r="AO222" i="37"/>
  <c r="AO221" i="37"/>
  <c r="AO220" i="37"/>
  <c r="AO219" i="37"/>
  <c r="AO218" i="37"/>
  <c r="AO217" i="37"/>
  <c r="AO216" i="37"/>
  <c r="AO215" i="37"/>
  <c r="AO214" i="37"/>
  <c r="AO213" i="37"/>
  <c r="AO212" i="37"/>
  <c r="AO211" i="37"/>
  <c r="AO210" i="37"/>
  <c r="AO209" i="37"/>
  <c r="AO208" i="37"/>
  <c r="AO207" i="37"/>
  <c r="AO206" i="37"/>
  <c r="AO205" i="37"/>
  <c r="AO204" i="37"/>
  <c r="AO203" i="37"/>
  <c r="AO202" i="37"/>
  <c r="AO201" i="37"/>
  <c r="AO200" i="37"/>
  <c r="AO199" i="37"/>
  <c r="AO198" i="37"/>
  <c r="AO197" i="37"/>
  <c r="AO196" i="37"/>
  <c r="AO195" i="37"/>
  <c r="AO194" i="37"/>
  <c r="AO193" i="37"/>
  <c r="AO192" i="37"/>
  <c r="AO191" i="37"/>
  <c r="AO190" i="37"/>
  <c r="AO189" i="37"/>
  <c r="AO188" i="37"/>
  <c r="AO187" i="37"/>
  <c r="AO186" i="37"/>
  <c r="AO185" i="37"/>
  <c r="AO184" i="37"/>
  <c r="AO183" i="37"/>
  <c r="AO182" i="37"/>
  <c r="AO181" i="37"/>
  <c r="AO180" i="37"/>
  <c r="AO179" i="37"/>
  <c r="AO178" i="37"/>
  <c r="AO177" i="37"/>
  <c r="AO176" i="37"/>
  <c r="AO175" i="37"/>
  <c r="AO174" i="37"/>
  <c r="AO173" i="37"/>
  <c r="AO172" i="37"/>
  <c r="AO171" i="37"/>
  <c r="AO170" i="37"/>
  <c r="AO169" i="37"/>
  <c r="AO168" i="37"/>
  <c r="AO167" i="37"/>
  <c r="AO166" i="37"/>
  <c r="AO165" i="37"/>
  <c r="AO164" i="37"/>
  <c r="AO163" i="37"/>
  <c r="AO162" i="37"/>
  <c r="AO161" i="37"/>
  <c r="AO160" i="37"/>
  <c r="AO159" i="37"/>
  <c r="AO158" i="37"/>
  <c r="AO157" i="37"/>
  <c r="AO156" i="37"/>
  <c r="AO155" i="37"/>
  <c r="AO154" i="37"/>
  <c r="AO153" i="37"/>
  <c r="AO152" i="37"/>
  <c r="AO151" i="37"/>
  <c r="AO150" i="37"/>
  <c r="AO149" i="37"/>
  <c r="AO148" i="37"/>
  <c r="AO147" i="37"/>
  <c r="AO146" i="37"/>
  <c r="AO145" i="37"/>
  <c r="AO144" i="37"/>
  <c r="AO143" i="37"/>
  <c r="AO142" i="37"/>
  <c r="AO141" i="37"/>
  <c r="AO140" i="37"/>
  <c r="AO139" i="37"/>
  <c r="AO138" i="37"/>
  <c r="AO137" i="37"/>
  <c r="AO136" i="37"/>
  <c r="AO135" i="37"/>
  <c r="AO134" i="37"/>
  <c r="AO133" i="37"/>
  <c r="AO132" i="37"/>
  <c r="AO131" i="37"/>
  <c r="AO130" i="37"/>
  <c r="AO129" i="37"/>
  <c r="AO128" i="37"/>
  <c r="AO127" i="37"/>
  <c r="AO126" i="37"/>
  <c r="AO125" i="37"/>
  <c r="AO124" i="37"/>
  <c r="AO123" i="37"/>
  <c r="AO122" i="37"/>
  <c r="AO121" i="37"/>
  <c r="AO120" i="37"/>
  <c r="AO119" i="37"/>
  <c r="AO118" i="37"/>
  <c r="AO117" i="37"/>
  <c r="AO116" i="37"/>
  <c r="AO115" i="37"/>
  <c r="AO114" i="37"/>
  <c r="AO113" i="37"/>
  <c r="AO112" i="37"/>
  <c r="AO111" i="37"/>
  <c r="AO110" i="37"/>
  <c r="AO109" i="37"/>
  <c r="AO108" i="37"/>
  <c r="AO107" i="37"/>
  <c r="AO106" i="37"/>
  <c r="AO105" i="37"/>
  <c r="AO104" i="37"/>
  <c r="AO103" i="37"/>
  <c r="AO102" i="37"/>
  <c r="AO101" i="37"/>
  <c r="AO100" i="37"/>
  <c r="AO99" i="37"/>
  <c r="AO98" i="37"/>
  <c r="AO97" i="37"/>
  <c r="AO96" i="37"/>
  <c r="AO95" i="37"/>
  <c r="AO94" i="37"/>
  <c r="AO93" i="37"/>
  <c r="AO92" i="37"/>
  <c r="AO91" i="37"/>
  <c r="AO90" i="37"/>
  <c r="AO89" i="37"/>
  <c r="AO88" i="37"/>
  <c r="AO87" i="37"/>
  <c r="AO86" i="37"/>
  <c r="AO85" i="37"/>
  <c r="AO84" i="37"/>
  <c r="AO83" i="37"/>
  <c r="AO82" i="37"/>
  <c r="AO81" i="37"/>
  <c r="AO80" i="37"/>
  <c r="AO79" i="37"/>
  <c r="AO78" i="37"/>
  <c r="AO77" i="37"/>
  <c r="AO76" i="37"/>
  <c r="AO75" i="37"/>
  <c r="AO74" i="37"/>
  <c r="AO73" i="37"/>
  <c r="AO72" i="37"/>
  <c r="AO71" i="37"/>
  <c r="AO70" i="37"/>
  <c r="AO69" i="37"/>
  <c r="AO68" i="37"/>
  <c r="AO67" i="37"/>
  <c r="AO66" i="37"/>
  <c r="AO65" i="37"/>
  <c r="AO64" i="37"/>
  <c r="AO63" i="37"/>
  <c r="AO62" i="37"/>
  <c r="AO61" i="37"/>
  <c r="AO60" i="37"/>
  <c r="AO59" i="37"/>
  <c r="AO58" i="37"/>
  <c r="AO57" i="37"/>
  <c r="AO56" i="37"/>
  <c r="AO55" i="37"/>
  <c r="AO54" i="37"/>
  <c r="AO53" i="37"/>
  <c r="AO52" i="37"/>
  <c r="AO51" i="37"/>
  <c r="AO50" i="37"/>
  <c r="AO49" i="37"/>
  <c r="AO48" i="37"/>
  <c r="AO47" i="37"/>
  <c r="AO46" i="37"/>
  <c r="AO45" i="37"/>
  <c r="AO44" i="37"/>
  <c r="AO43" i="37"/>
  <c r="AO42" i="37"/>
  <c r="AO41" i="37"/>
  <c r="AO40" i="37"/>
  <c r="AO39" i="37"/>
  <c r="AO38" i="37"/>
  <c r="AO37" i="37"/>
  <c r="AO36" i="37"/>
  <c r="AO35" i="37"/>
  <c r="AO34" i="37"/>
  <c r="AO33" i="37"/>
  <c r="AO32" i="37"/>
  <c r="AO31" i="37"/>
  <c r="AO30" i="37"/>
  <c r="AO29" i="37"/>
  <c r="AO28" i="37"/>
  <c r="AO27" i="37"/>
  <c r="AO26" i="37"/>
  <c r="AO25" i="37"/>
  <c r="AO24" i="37"/>
  <c r="AO23" i="37"/>
  <c r="AO22" i="37"/>
  <c r="AO21" i="37"/>
  <c r="AO20" i="37"/>
  <c r="AO19" i="37"/>
  <c r="AO18" i="37"/>
  <c r="AO17" i="37"/>
  <c r="AO16" i="37"/>
  <c r="AO15" i="37"/>
  <c r="E8" i="37"/>
  <c r="BY53" i="23" l="1"/>
  <c r="BY52" i="23"/>
  <c r="BY51" i="23"/>
  <c r="BY50" i="23"/>
  <c r="BL17" i="23" l="1"/>
  <c r="BH17" i="23"/>
  <c r="BL16" i="23"/>
  <c r="BH16" i="23"/>
  <c r="BL15" i="23"/>
  <c r="BH15" i="23"/>
  <c r="BY54" i="23"/>
  <c r="BH19" i="23" l="1"/>
  <c r="BL19" i="23"/>
  <c r="BH18" i="23"/>
  <c r="BL18" i="23"/>
  <c r="BH102" i="23" l="1"/>
  <c r="BD102" i="23"/>
  <c r="AZ102" i="23"/>
  <c r="AV102" i="23"/>
  <c r="AR102" i="23"/>
  <c r="AN102" i="23"/>
  <c r="AJ102" i="23"/>
  <c r="AF102" i="23"/>
  <c r="AB102" i="23"/>
  <c r="X102" i="23"/>
  <c r="T102" i="23"/>
  <c r="P102" i="23"/>
  <c r="L102" i="23"/>
  <c r="A372" i="45"/>
  <c r="A371" i="45"/>
  <c r="A370" i="45"/>
  <c r="A369" i="45"/>
  <c r="A368" i="45"/>
  <c r="A367" i="45"/>
  <c r="A366" i="45"/>
  <c r="A365" i="45"/>
  <c r="A364" i="45"/>
  <c r="A363" i="45"/>
  <c r="A362" i="45"/>
  <c r="A361" i="45"/>
  <c r="A360" i="45"/>
  <c r="A359" i="45"/>
  <c r="A358" i="45"/>
  <c r="A357" i="45"/>
  <c r="A356" i="45"/>
  <c r="A355" i="45"/>
  <c r="A354" i="45"/>
  <c r="A353" i="45"/>
  <c r="A352" i="45"/>
  <c r="A351" i="45"/>
  <c r="A350" i="45"/>
  <c r="A349" i="45"/>
  <c r="A348" i="45"/>
  <c r="A347" i="45"/>
  <c r="A346" i="45"/>
  <c r="A345" i="45"/>
  <c r="A344" i="45"/>
  <c r="A343" i="45"/>
  <c r="A342" i="45"/>
  <c r="A341" i="45"/>
  <c r="A340" i="45"/>
  <c r="A339" i="45"/>
  <c r="A338" i="45"/>
  <c r="A337" i="45"/>
  <c r="A336" i="45"/>
  <c r="A335" i="45"/>
  <c r="A334" i="45"/>
  <c r="A333" i="45"/>
  <c r="A332" i="45"/>
  <c r="A331" i="45"/>
  <c r="A330" i="45"/>
  <c r="A329" i="45"/>
  <c r="A328" i="45"/>
  <c r="A327" i="45"/>
  <c r="A326" i="45"/>
  <c r="A325" i="45"/>
  <c r="A324" i="45"/>
  <c r="A323" i="45"/>
  <c r="A322" i="45"/>
  <c r="A321" i="45"/>
  <c r="A320" i="45"/>
  <c r="A319" i="45"/>
  <c r="A318" i="45"/>
  <c r="A317" i="45"/>
  <c r="A316" i="45"/>
  <c r="A315" i="45"/>
  <c r="A314" i="45"/>
  <c r="A313" i="45"/>
  <c r="A312" i="45"/>
  <c r="A311" i="45"/>
  <c r="A310" i="45"/>
  <c r="A309" i="45"/>
  <c r="A308" i="45"/>
  <c r="A307" i="45"/>
  <c r="A306" i="45"/>
  <c r="A305" i="45"/>
  <c r="A304" i="45"/>
  <c r="A303" i="45"/>
  <c r="A302" i="45"/>
  <c r="A301" i="45"/>
  <c r="A300" i="45"/>
  <c r="A299" i="45"/>
  <c r="A298" i="45"/>
  <c r="A297" i="45"/>
  <c r="A296" i="45"/>
  <c r="A295" i="45"/>
  <c r="A294" i="45"/>
  <c r="A293" i="45"/>
  <c r="A292" i="45"/>
  <c r="A291" i="45"/>
  <c r="A290" i="45"/>
  <c r="A289" i="45"/>
  <c r="A288" i="45"/>
  <c r="A287" i="45"/>
  <c r="A286" i="45"/>
  <c r="A285" i="45"/>
  <c r="A284" i="45"/>
  <c r="A283" i="45"/>
  <c r="A282" i="45"/>
  <c r="A281" i="45"/>
  <c r="A280" i="45"/>
  <c r="A279" i="45"/>
  <c r="A278" i="45"/>
  <c r="A277" i="45"/>
  <c r="A276" i="45"/>
  <c r="A275" i="45"/>
  <c r="A274" i="45"/>
  <c r="A273" i="45"/>
  <c r="A272" i="45"/>
  <c r="A271" i="45"/>
  <c r="A270" i="45"/>
  <c r="A269" i="45"/>
  <c r="A268" i="45"/>
  <c r="A267" i="45"/>
  <c r="A266" i="45"/>
  <c r="A265" i="45"/>
  <c r="A264" i="45"/>
  <c r="A263" i="45"/>
  <c r="A262" i="45"/>
  <c r="A261" i="45"/>
  <c r="A260" i="45"/>
  <c r="A259" i="45"/>
  <c r="A258" i="45"/>
  <c r="A257" i="45"/>
  <c r="A256" i="45"/>
  <c r="A255" i="45"/>
  <c r="A254" i="45"/>
  <c r="A253" i="45"/>
  <c r="A252" i="45"/>
  <c r="A251" i="45"/>
  <c r="A250" i="45"/>
  <c r="A249" i="45"/>
  <c r="A248" i="45"/>
  <c r="A247" i="45"/>
  <c r="A246" i="45"/>
  <c r="A245" i="45"/>
  <c r="A244" i="45"/>
  <c r="A243" i="45"/>
  <c r="A242" i="45"/>
  <c r="A241" i="45"/>
  <c r="A240" i="45"/>
  <c r="A239" i="45"/>
  <c r="A238" i="45"/>
  <c r="A237" i="45"/>
  <c r="A236" i="45"/>
  <c r="A235" i="45"/>
  <c r="A234" i="45"/>
  <c r="A233" i="45"/>
  <c r="A232" i="45"/>
  <c r="A231" i="45"/>
  <c r="A230" i="45"/>
  <c r="A229" i="45"/>
  <c r="A228" i="45"/>
  <c r="A227" i="45"/>
  <c r="A226" i="45"/>
  <c r="A225" i="45"/>
  <c r="A224" i="45"/>
  <c r="A223" i="45"/>
  <c r="A222" i="45"/>
  <c r="A221" i="45"/>
  <c r="A220" i="45"/>
  <c r="A219" i="45"/>
  <c r="A218" i="45"/>
  <c r="A217" i="45"/>
  <c r="A216" i="45"/>
  <c r="A215" i="45"/>
  <c r="A214" i="45"/>
  <c r="A213" i="45"/>
  <c r="A212" i="45"/>
  <c r="A211" i="45"/>
  <c r="A210" i="45"/>
  <c r="A209" i="45"/>
  <c r="A208" i="45"/>
  <c r="A207" i="45"/>
  <c r="A206" i="45"/>
  <c r="A205" i="45"/>
  <c r="A204" i="45"/>
  <c r="A203" i="45"/>
  <c r="A202" i="45"/>
  <c r="A201" i="45"/>
  <c r="A200" i="45"/>
  <c r="A199" i="45"/>
  <c r="A198" i="45"/>
  <c r="A197" i="45"/>
  <c r="A196" i="45"/>
  <c r="A195" i="45"/>
  <c r="A194" i="45"/>
  <c r="A193" i="45"/>
  <c r="A192" i="45"/>
  <c r="A191" i="45"/>
  <c r="A190" i="45"/>
  <c r="A189" i="45"/>
  <c r="A188" i="45"/>
  <c r="A187" i="45"/>
  <c r="A186" i="45"/>
  <c r="A185" i="45"/>
  <c r="A184" i="45"/>
  <c r="A183" i="45"/>
  <c r="A182" i="45"/>
  <c r="A181" i="45"/>
  <c r="A180" i="45"/>
  <c r="A179" i="45"/>
  <c r="A178" i="45"/>
  <c r="A177" i="45"/>
  <c r="A176" i="45"/>
  <c r="A175" i="45"/>
  <c r="A174" i="45"/>
  <c r="A173" i="45"/>
  <c r="A172" i="45"/>
  <c r="A171" i="45"/>
  <c r="A170" i="45"/>
  <c r="A169" i="45"/>
  <c r="A168" i="45"/>
  <c r="A167" i="45"/>
  <c r="A166" i="45"/>
  <c r="A165" i="45"/>
  <c r="A164" i="45"/>
  <c r="A163" i="45"/>
  <c r="A162" i="45"/>
  <c r="A161" i="45"/>
  <c r="A160" i="45"/>
  <c r="A159" i="45"/>
  <c r="A158" i="45"/>
  <c r="A157" i="45"/>
  <c r="A156" i="45"/>
  <c r="A155" i="45"/>
  <c r="A154" i="45"/>
  <c r="A153" i="45"/>
  <c r="A152" i="45"/>
  <c r="A151" i="45"/>
  <c r="A150" i="45"/>
  <c r="A149" i="45"/>
  <c r="A148" i="45"/>
  <c r="A147" i="45"/>
  <c r="A146" i="45"/>
  <c r="A145" i="45"/>
  <c r="A144" i="45"/>
  <c r="A143" i="45"/>
  <c r="A142" i="45"/>
  <c r="A141" i="45"/>
  <c r="A140" i="45"/>
  <c r="A139" i="45"/>
  <c r="A138" i="45"/>
  <c r="A137" i="45"/>
  <c r="A136" i="45"/>
  <c r="A135" i="45"/>
  <c r="A134" i="45"/>
  <c r="A133" i="45"/>
  <c r="A132" i="45"/>
  <c r="A131" i="45"/>
  <c r="A130" i="45"/>
  <c r="A129" i="45"/>
  <c r="A128" i="45"/>
  <c r="A127" i="45"/>
  <c r="A126" i="45"/>
  <c r="A125" i="45"/>
  <c r="A124" i="45"/>
  <c r="A123" i="45"/>
  <c r="A122" i="45"/>
  <c r="A121" i="45"/>
  <c r="A120" i="45"/>
  <c r="A119" i="45"/>
  <c r="A118" i="45"/>
  <c r="A117" i="45"/>
  <c r="A116" i="45"/>
  <c r="A115" i="45"/>
  <c r="A114" i="45"/>
  <c r="A113" i="45"/>
  <c r="A112" i="45"/>
  <c r="A111" i="45"/>
  <c r="A110" i="45"/>
  <c r="A109" i="45"/>
  <c r="A108" i="45"/>
  <c r="A107" i="45"/>
  <c r="A106" i="45"/>
  <c r="A105" i="45"/>
  <c r="A104" i="45"/>
  <c r="A103" i="45"/>
  <c r="A102" i="45"/>
  <c r="A101" i="45"/>
  <c r="A100" i="45"/>
  <c r="A99" i="45"/>
  <c r="A98" i="45"/>
  <c r="A97" i="45"/>
  <c r="A96" i="45"/>
  <c r="A95" i="45"/>
  <c r="A94" i="45"/>
  <c r="A93" i="45"/>
  <c r="A92" i="45"/>
  <c r="A91" i="45"/>
  <c r="A90" i="45"/>
  <c r="A89" i="45"/>
  <c r="A88" i="45"/>
  <c r="A87" i="45"/>
  <c r="A86" i="45"/>
  <c r="A85" i="45"/>
  <c r="A84" i="45"/>
  <c r="A83" i="45"/>
  <c r="A82" i="45"/>
  <c r="A81" i="45"/>
  <c r="A80" i="45"/>
  <c r="A79" i="45"/>
  <c r="A78" i="45"/>
  <c r="A77" i="45"/>
  <c r="A76" i="45"/>
  <c r="A75" i="45"/>
  <c r="A74" i="45"/>
  <c r="A73" i="45"/>
  <c r="A72" i="45"/>
  <c r="A71" i="45"/>
  <c r="A70" i="45"/>
  <c r="A69" i="45"/>
  <c r="A68" i="45"/>
  <c r="A67" i="45"/>
  <c r="A66" i="45"/>
  <c r="A65" i="45"/>
  <c r="A64" i="45"/>
  <c r="A63" i="45"/>
  <c r="A62" i="45"/>
  <c r="A61" i="45"/>
  <c r="A60" i="45"/>
  <c r="A59" i="45"/>
  <c r="A58" i="45"/>
  <c r="A57" i="45"/>
  <c r="A56" i="45"/>
  <c r="A55" i="45"/>
  <c r="A54" i="45"/>
  <c r="A53" i="45"/>
  <c r="A52" i="45"/>
  <c r="A51" i="45"/>
  <c r="A50" i="45"/>
  <c r="A49" i="45"/>
  <c r="A48" i="45"/>
  <c r="A47" i="45"/>
  <c r="A46" i="45"/>
  <c r="A45" i="45"/>
  <c r="A44" i="45"/>
  <c r="A43" i="45"/>
  <c r="A42" i="45"/>
  <c r="A41" i="45"/>
  <c r="A40" i="45"/>
  <c r="A39" i="45"/>
  <c r="A38" i="45"/>
  <c r="A37" i="45"/>
  <c r="A36" i="45"/>
  <c r="A35" i="45"/>
  <c r="A34" i="45"/>
  <c r="A33" i="45"/>
  <c r="A32" i="45"/>
  <c r="A31" i="45"/>
  <c r="A30" i="45"/>
  <c r="A29" i="45"/>
  <c r="A28" i="45"/>
  <c r="A27" i="45"/>
  <c r="A26" i="45"/>
  <c r="A25" i="45"/>
  <c r="A24" i="45"/>
  <c r="A23" i="45"/>
  <c r="A22" i="45"/>
  <c r="A21" i="45"/>
  <c r="A20" i="45"/>
  <c r="A19" i="45"/>
  <c r="A18" i="45"/>
  <c r="A17" i="45"/>
  <c r="A16" i="45"/>
  <c r="A15" i="45"/>
  <c r="P15" i="23"/>
  <c r="BP102" i="23" l="1"/>
  <c r="BP100" i="23"/>
  <c r="A3" i="43"/>
  <c r="A2" i="43"/>
  <c r="CC31" i="23"/>
  <c r="BL31" i="23"/>
  <c r="BJ31" i="23"/>
  <c r="BL32" i="23"/>
  <c r="AR31" i="23"/>
  <c r="AP31" i="23"/>
  <c r="P16" i="23" l="1"/>
  <c r="P17" i="23"/>
  <c r="P18" i="23" s="1"/>
  <c r="AV17" i="23"/>
  <c r="AR17" i="23"/>
  <c r="AN17" i="23"/>
  <c r="AJ17" i="23"/>
  <c r="AF17" i="23"/>
  <c r="AB17" i="23"/>
  <c r="X17" i="23"/>
  <c r="T17" i="23"/>
  <c r="AZ17" i="23"/>
  <c r="BD17" i="23"/>
  <c r="BD16" i="23"/>
  <c r="BD15" i="23"/>
  <c r="AZ16" i="23"/>
  <c r="AV16" i="23"/>
  <c r="AR16" i="23"/>
  <c r="AN16" i="23"/>
  <c r="AJ16" i="23"/>
  <c r="AF16" i="23"/>
  <c r="AB16" i="23"/>
  <c r="X16" i="23"/>
  <c r="T16" i="23"/>
  <c r="AZ15" i="23"/>
  <c r="AV15" i="23"/>
  <c r="AR15" i="23"/>
  <c r="AN15" i="23"/>
  <c r="AJ15" i="23"/>
  <c r="AF15" i="23"/>
  <c r="AB15" i="23"/>
  <c r="X15" i="23"/>
  <c r="T15" i="23"/>
  <c r="L17" i="23"/>
  <c r="L18" i="23" s="1"/>
  <c r="P14" i="23" s="1"/>
  <c r="L16" i="23"/>
  <c r="AN19" i="23" l="1"/>
  <c r="AV19" i="23"/>
  <c r="AR19" i="23"/>
  <c r="T19" i="23"/>
  <c r="AZ19" i="23"/>
  <c r="BD19" i="23"/>
  <c r="L19" i="23"/>
  <c r="P19" i="23"/>
  <c r="X19" i="23"/>
  <c r="AF19" i="23"/>
  <c r="AB19" i="23"/>
  <c r="AJ19" i="23"/>
  <c r="AB18" i="23"/>
  <c r="T14" i="23"/>
  <c r="AF18" i="23"/>
  <c r="T18" i="23"/>
  <c r="AN18" i="23"/>
  <c r="AZ18" i="23"/>
  <c r="X18" i="23"/>
  <c r="AJ18" i="23"/>
  <c r="AR18" i="23"/>
  <c r="AV18" i="23"/>
  <c r="BD18" i="23"/>
  <c r="BT17" i="23"/>
  <c r="BT16" i="23"/>
  <c r="BT15" i="23"/>
  <c r="AR30" i="23"/>
  <c r="BT19" i="23" l="1"/>
  <c r="X14" i="23"/>
  <c r="AB14" i="23" s="1"/>
  <c r="AF14" i="23" s="1"/>
  <c r="AJ14" i="23" s="1"/>
  <c r="AN14" i="23" s="1"/>
  <c r="AR14" i="23" s="1"/>
  <c r="AV14" i="23" s="1"/>
  <c r="AZ14" i="23" s="1"/>
  <c r="BD14" i="23" s="1"/>
  <c r="BH14" i="23" s="1"/>
  <c r="BL14" i="23" s="1"/>
  <c r="BP14" i="23" s="1"/>
  <c r="BT18" i="23"/>
  <c r="A413" i="46"/>
  <c r="A412" i="46"/>
  <c r="A411" i="46"/>
  <c r="A410" i="46"/>
  <c r="A409" i="46"/>
  <c r="A408" i="46"/>
  <c r="A407" i="46"/>
  <c r="A406" i="46"/>
  <c r="A405" i="46"/>
  <c r="A404" i="46"/>
  <c r="A403" i="46"/>
  <c r="A402" i="46"/>
  <c r="A401" i="46"/>
  <c r="A400" i="46"/>
  <c r="A399" i="46"/>
  <c r="A398" i="46"/>
  <c r="A397" i="46"/>
  <c r="A396" i="46"/>
  <c r="A395" i="46"/>
  <c r="A394" i="46"/>
  <c r="A393" i="46"/>
  <c r="A392" i="46"/>
  <c r="A391" i="46"/>
  <c r="A390" i="46"/>
  <c r="A389" i="46"/>
  <c r="A388" i="46"/>
  <c r="A387" i="46"/>
  <c r="A386" i="46"/>
  <c r="A385" i="46"/>
  <c r="A384" i="46"/>
  <c r="A383" i="46"/>
  <c r="A382" i="46"/>
  <c r="A381" i="46"/>
  <c r="A380" i="46"/>
  <c r="A379" i="46"/>
  <c r="A378" i="46"/>
  <c r="A377" i="46"/>
  <c r="A376" i="46"/>
  <c r="A375" i="46"/>
  <c r="A374" i="46"/>
  <c r="A373" i="46"/>
  <c r="A372" i="46"/>
  <c r="A371" i="46"/>
  <c r="A370" i="46"/>
  <c r="A369" i="46"/>
  <c r="A368" i="46"/>
  <c r="A367" i="46"/>
  <c r="A366" i="46"/>
  <c r="A365" i="46"/>
  <c r="A364" i="46"/>
  <c r="A363" i="46"/>
  <c r="A362" i="46"/>
  <c r="A361" i="46"/>
  <c r="A360" i="46"/>
  <c r="A359" i="46"/>
  <c r="A358" i="46"/>
  <c r="A357" i="46"/>
  <c r="A356" i="46"/>
  <c r="A355" i="46"/>
  <c r="A354" i="46"/>
  <c r="A353" i="46"/>
  <c r="A352" i="46"/>
  <c r="A351" i="46"/>
  <c r="A350" i="46"/>
  <c r="A349" i="46"/>
  <c r="A348" i="46"/>
  <c r="A347" i="46"/>
  <c r="A346" i="46"/>
  <c r="A345" i="46"/>
  <c r="A344" i="46"/>
  <c r="A343" i="46"/>
  <c r="A342" i="46"/>
  <c r="A341" i="46"/>
  <c r="A340" i="46"/>
  <c r="A339" i="46"/>
  <c r="A338" i="46"/>
  <c r="A337" i="46"/>
  <c r="A336" i="46"/>
  <c r="A335" i="46"/>
  <c r="A334" i="46"/>
  <c r="A333" i="46"/>
  <c r="A332" i="46"/>
  <c r="A331" i="46"/>
  <c r="A330" i="46"/>
  <c r="A329" i="46"/>
  <c r="A328" i="46"/>
  <c r="A327" i="46"/>
  <c r="A326" i="46"/>
  <c r="A325" i="46"/>
  <c r="A324" i="46"/>
  <c r="A323" i="46"/>
  <c r="A322" i="46"/>
  <c r="A321" i="46"/>
  <c r="A320" i="46"/>
  <c r="A319" i="46"/>
  <c r="A318" i="46"/>
  <c r="A317" i="46"/>
  <c r="A316" i="46"/>
  <c r="A315" i="46"/>
  <c r="A314" i="46"/>
  <c r="A313" i="46"/>
  <c r="A312" i="46"/>
  <c r="A311" i="46"/>
  <c r="A310" i="46"/>
  <c r="A309" i="46"/>
  <c r="A308" i="46"/>
  <c r="A307" i="46"/>
  <c r="A306" i="46"/>
  <c r="A305" i="46"/>
  <c r="A304" i="46"/>
  <c r="A303" i="46"/>
  <c r="A302" i="46"/>
  <c r="A301" i="46"/>
  <c r="A300" i="46"/>
  <c r="A299" i="46"/>
  <c r="A298" i="46"/>
  <c r="A297" i="46"/>
  <c r="A296" i="46"/>
  <c r="A295" i="46"/>
  <c r="A294" i="46"/>
  <c r="A293" i="46"/>
  <c r="A292" i="46"/>
  <c r="A291" i="46"/>
  <c r="A290" i="46"/>
  <c r="A289" i="46"/>
  <c r="A288" i="46"/>
  <c r="A287" i="46"/>
  <c r="A286" i="46"/>
  <c r="A285" i="46"/>
  <c r="A284" i="46"/>
  <c r="A283" i="46"/>
  <c r="A282" i="46"/>
  <c r="A281" i="46"/>
  <c r="A280" i="46"/>
  <c r="A279" i="46"/>
  <c r="A278" i="46"/>
  <c r="A277" i="46"/>
  <c r="A276" i="46"/>
  <c r="A275" i="46"/>
  <c r="A274" i="46"/>
  <c r="A273" i="46"/>
  <c r="A272" i="46"/>
  <c r="A271" i="46"/>
  <c r="A270" i="46"/>
  <c r="A269" i="46"/>
  <c r="A268" i="46"/>
  <c r="A267" i="46"/>
  <c r="A266" i="46"/>
  <c r="A265" i="46"/>
  <c r="A264" i="46"/>
  <c r="A263" i="46"/>
  <c r="A262" i="46"/>
  <c r="A261" i="46"/>
  <c r="A260" i="46"/>
  <c r="A259" i="46"/>
  <c r="A258" i="46"/>
  <c r="A257" i="46"/>
  <c r="A256" i="46"/>
  <c r="A255" i="46"/>
  <c r="A254" i="46"/>
  <c r="A253" i="46"/>
  <c r="A252" i="46"/>
  <c r="A251" i="46"/>
  <c r="A250" i="46"/>
  <c r="A249" i="46"/>
  <c r="A248" i="46"/>
  <c r="A247" i="46"/>
  <c r="A246" i="46"/>
  <c r="A245" i="46"/>
  <c r="A244" i="46"/>
  <c r="A243" i="46"/>
  <c r="A242" i="46"/>
  <c r="A241" i="46"/>
  <c r="A240" i="46"/>
  <c r="A239" i="46"/>
  <c r="A238" i="46"/>
  <c r="A237" i="46"/>
  <c r="A236" i="46"/>
  <c r="A235" i="46"/>
  <c r="A234" i="46"/>
  <c r="A233" i="46"/>
  <c r="A232" i="46"/>
  <c r="A231" i="46"/>
  <c r="A230" i="46"/>
  <c r="A229" i="46"/>
  <c r="A228" i="46"/>
  <c r="A227" i="46"/>
  <c r="A226" i="46"/>
  <c r="A225" i="46"/>
  <c r="A224" i="46"/>
  <c r="A223" i="46"/>
  <c r="A222" i="46"/>
  <c r="A221" i="46"/>
  <c r="A220" i="46"/>
  <c r="A219" i="46"/>
  <c r="A218" i="46"/>
  <c r="A217" i="46"/>
  <c r="A216" i="46"/>
  <c r="A215" i="46"/>
  <c r="A214" i="46"/>
  <c r="A213" i="46"/>
  <c r="A212" i="46"/>
  <c r="A211" i="46"/>
  <c r="A210" i="46"/>
  <c r="A209" i="46"/>
  <c r="A208" i="46"/>
  <c r="A207" i="46"/>
  <c r="A206" i="46"/>
  <c r="A205" i="46"/>
  <c r="A204" i="46"/>
  <c r="A203" i="46"/>
  <c r="A202" i="46"/>
  <c r="A201" i="46"/>
  <c r="A200" i="46"/>
  <c r="A199" i="46"/>
  <c r="A198" i="46"/>
  <c r="A197" i="46"/>
  <c r="A196" i="46"/>
  <c r="A195" i="46"/>
  <c r="A194" i="46"/>
  <c r="A193" i="46"/>
  <c r="A192" i="46"/>
  <c r="A191" i="46"/>
  <c r="A190" i="46"/>
  <c r="A189" i="46"/>
  <c r="A188" i="46"/>
  <c r="A187" i="46"/>
  <c r="A186" i="46"/>
  <c r="A185" i="46"/>
  <c r="A184" i="46"/>
  <c r="A183" i="46"/>
  <c r="A182" i="46"/>
  <c r="A181" i="46"/>
  <c r="A180" i="46"/>
  <c r="A179" i="46"/>
  <c r="A178" i="46"/>
  <c r="A177" i="46"/>
  <c r="A176" i="46"/>
  <c r="A175" i="46"/>
  <c r="A174" i="46"/>
  <c r="A173" i="46"/>
  <c r="A172" i="46"/>
  <c r="A171" i="46"/>
  <c r="A170" i="46"/>
  <c r="A169" i="46"/>
  <c r="A168" i="46"/>
  <c r="A167" i="46"/>
  <c r="A166" i="46"/>
  <c r="A165" i="46"/>
  <c r="A164" i="46"/>
  <c r="A163" i="46"/>
  <c r="A162" i="46"/>
  <c r="A161" i="46"/>
  <c r="A160" i="46"/>
  <c r="A159" i="46"/>
  <c r="A158" i="46"/>
  <c r="A157" i="46"/>
  <c r="A156" i="46"/>
  <c r="A155" i="46"/>
  <c r="A154" i="46"/>
  <c r="A153" i="46"/>
  <c r="A152" i="46"/>
  <c r="A151" i="46"/>
  <c r="A150" i="46"/>
  <c r="A149" i="46"/>
  <c r="A148" i="46"/>
  <c r="A147" i="46"/>
  <c r="A146" i="46"/>
  <c r="A145" i="46"/>
  <c r="A144" i="46"/>
  <c r="A143" i="46"/>
  <c r="A142" i="46"/>
  <c r="A141" i="46"/>
  <c r="A140" i="46"/>
  <c r="A139" i="46"/>
  <c r="A138" i="46"/>
  <c r="A137" i="46"/>
  <c r="A136" i="46"/>
  <c r="A135" i="46"/>
  <c r="A134" i="46"/>
  <c r="A133" i="46"/>
  <c r="A132" i="46"/>
  <c r="A131" i="46"/>
  <c r="A130" i="46"/>
  <c r="A129" i="46"/>
  <c r="A128" i="46"/>
  <c r="A127" i="46"/>
  <c r="A126" i="46"/>
  <c r="A125" i="46"/>
  <c r="A124" i="46"/>
  <c r="A123" i="46"/>
  <c r="A122" i="46"/>
  <c r="A121" i="46"/>
  <c r="A120" i="46"/>
  <c r="A119" i="46"/>
  <c r="A118" i="46"/>
  <c r="A117" i="46"/>
  <c r="A116" i="46"/>
  <c r="A115" i="46"/>
  <c r="A114" i="46"/>
  <c r="A113" i="46"/>
  <c r="A112" i="46"/>
  <c r="A111" i="46"/>
  <c r="A110" i="46"/>
  <c r="A109" i="46"/>
  <c r="A108" i="46"/>
  <c r="A107" i="46"/>
  <c r="A106" i="46"/>
  <c r="A105" i="46"/>
  <c r="A104" i="46"/>
  <c r="A103" i="46"/>
  <c r="A102" i="46"/>
  <c r="A101" i="46"/>
  <c r="A100" i="46"/>
  <c r="A99" i="46"/>
  <c r="A98" i="46"/>
  <c r="A97" i="46"/>
  <c r="A96" i="46"/>
  <c r="A95" i="46"/>
  <c r="A94" i="46"/>
  <c r="A93" i="46"/>
  <c r="A92" i="46"/>
  <c r="A91" i="46"/>
  <c r="A90" i="46"/>
  <c r="A89" i="46"/>
  <c r="A88" i="46"/>
  <c r="A87" i="46"/>
  <c r="A86" i="46"/>
  <c r="A85" i="46"/>
  <c r="A84" i="46"/>
  <c r="A83" i="46"/>
  <c r="A82" i="46"/>
  <c r="A81" i="46"/>
  <c r="A80" i="46"/>
  <c r="A79" i="46"/>
  <c r="A78" i="46"/>
  <c r="A77" i="46"/>
  <c r="A76" i="46"/>
  <c r="A75" i="46"/>
  <c r="A74" i="46"/>
  <c r="A73" i="46"/>
  <c r="A72" i="46"/>
  <c r="A71" i="46"/>
  <c r="A70" i="46"/>
  <c r="A69" i="46"/>
  <c r="A68" i="46"/>
  <c r="A67" i="46"/>
  <c r="A66" i="46"/>
  <c r="A65" i="46"/>
  <c r="A64" i="46"/>
  <c r="A63" i="46"/>
  <c r="A62" i="46"/>
  <c r="A61" i="46"/>
  <c r="A60" i="46"/>
  <c r="A59" i="46"/>
  <c r="A58" i="46"/>
  <c r="A57" i="46"/>
  <c r="A56" i="46"/>
  <c r="A55" i="46"/>
  <c r="A54" i="46"/>
  <c r="A53" i="46"/>
  <c r="A52" i="46"/>
  <c r="A51" i="46"/>
  <c r="A50" i="46"/>
  <c r="A49" i="46"/>
  <c r="A48" i="46"/>
  <c r="A47" i="46"/>
  <c r="A46" i="46"/>
  <c r="A45" i="46"/>
  <c r="A44" i="46"/>
  <c r="A43" i="46"/>
  <c r="A42" i="46"/>
  <c r="A41" i="46"/>
  <c r="A40" i="46"/>
  <c r="A39" i="46"/>
  <c r="A38" i="46"/>
  <c r="A37" i="46"/>
  <c r="A36" i="46"/>
  <c r="A35" i="46"/>
  <c r="A34" i="46"/>
  <c r="A33" i="46"/>
  <c r="A32" i="46"/>
  <c r="A31" i="46"/>
  <c r="A30" i="46"/>
  <c r="A29" i="46"/>
  <c r="A28" i="46"/>
  <c r="A27" i="46"/>
  <c r="A26" i="46"/>
  <c r="A25" i="46"/>
  <c r="A24" i="46"/>
  <c r="A23" i="46"/>
  <c r="A22" i="46"/>
  <c r="A21" i="46"/>
  <c r="A20" i="46"/>
  <c r="A19" i="46"/>
  <c r="A18" i="46"/>
  <c r="A17" i="46"/>
  <c r="A16" i="46"/>
  <c r="A15" i="46"/>
  <c r="A3" i="46" l="1"/>
  <c r="A2" i="46"/>
  <c r="A3" i="37"/>
  <c r="A2" i="37"/>
  <c r="M90" i="23" l="1"/>
  <c r="M89" i="23"/>
  <c r="M88" i="23"/>
  <c r="M87" i="23"/>
  <c r="M86" i="23"/>
  <c r="M85" i="23"/>
  <c r="M84" i="23"/>
  <c r="M83" i="23"/>
  <c r="M82" i="23"/>
  <c r="M81" i="23"/>
  <c r="M80" i="23"/>
  <c r="M79" i="23"/>
  <c r="M78" i="23"/>
  <c r="M77" i="23"/>
  <c r="M76" i="23"/>
  <c r="M75" i="23"/>
  <c r="M74" i="23"/>
  <c r="M73" i="23"/>
  <c r="M72" i="23"/>
  <c r="M71" i="23"/>
  <c r="M70" i="23"/>
  <c r="M69" i="23"/>
  <c r="M68" i="23"/>
  <c r="M67" i="23"/>
  <c r="M66" i="23"/>
  <c r="M65" i="23"/>
  <c r="M64" i="23"/>
  <c r="A91" i="23"/>
  <c r="A90" i="23"/>
  <c r="A89" i="23"/>
  <c r="A88" i="23"/>
  <c r="A87" i="23"/>
  <c r="A86" i="23"/>
  <c r="A85" i="23"/>
  <c r="A84" i="23"/>
  <c r="A83" i="23"/>
  <c r="A82" i="23"/>
  <c r="A81" i="23"/>
  <c r="A80" i="23"/>
  <c r="A79" i="23"/>
  <c r="A78" i="23"/>
  <c r="A77" i="23"/>
  <c r="A76" i="23"/>
  <c r="A75" i="23"/>
  <c r="A74" i="23"/>
  <c r="A73" i="23"/>
  <c r="A72" i="23"/>
  <c r="A71" i="23"/>
  <c r="A70" i="23"/>
  <c r="A69" i="23"/>
  <c r="A68" i="23"/>
  <c r="A67" i="23"/>
  <c r="A66" i="23"/>
  <c r="A65" i="23"/>
  <c r="M138" i="23"/>
  <c r="M137" i="23"/>
  <c r="M136" i="23"/>
  <c r="M135" i="23"/>
  <c r="M134" i="23"/>
  <c r="M133" i="23"/>
  <c r="M132" i="23"/>
  <c r="M131" i="23"/>
  <c r="M130" i="23"/>
  <c r="M129" i="23"/>
  <c r="M128" i="23"/>
  <c r="M127" i="23"/>
  <c r="M126" i="23"/>
  <c r="M125" i="23"/>
  <c r="M124" i="23"/>
  <c r="M123" i="23"/>
  <c r="M122" i="23"/>
  <c r="M121" i="23"/>
  <c r="M120" i="23"/>
  <c r="M119" i="23"/>
  <c r="M118" i="23"/>
  <c r="M117" i="23"/>
  <c r="M116" i="23"/>
  <c r="M115" i="23"/>
  <c r="M114" i="23"/>
  <c r="M113" i="23"/>
  <c r="M112" i="23"/>
  <c r="A139" i="23"/>
  <c r="A138" i="23"/>
  <c r="A137" i="23"/>
  <c r="A136" i="23"/>
  <c r="A135" i="23"/>
  <c r="A134" i="23"/>
  <c r="A133" i="23"/>
  <c r="A132" i="23"/>
  <c r="A131" i="23"/>
  <c r="A130" i="23"/>
  <c r="A129" i="23"/>
  <c r="A128" i="23"/>
  <c r="A127" i="23"/>
  <c r="A126" i="23"/>
  <c r="A125" i="23"/>
  <c r="A124" i="23"/>
  <c r="A123" i="23"/>
  <c r="A122" i="23"/>
  <c r="A121" i="23"/>
  <c r="A120" i="23"/>
  <c r="A119" i="23"/>
  <c r="A118" i="23"/>
  <c r="A117" i="23"/>
  <c r="A116" i="23"/>
  <c r="A115" i="23"/>
  <c r="A114" i="23"/>
  <c r="A113" i="23"/>
  <c r="A112" i="23"/>
  <c r="A3" i="45"/>
  <c r="A2" i="45"/>
  <c r="BA1014" i="37"/>
  <c r="AZ1014" i="37"/>
  <c r="BA1013" i="37"/>
  <c r="AZ1013" i="37"/>
  <c r="BA1012" i="37"/>
  <c r="AZ1012" i="37"/>
  <c r="BA1011" i="37"/>
  <c r="AZ1011" i="37"/>
  <c r="BA1010" i="37"/>
  <c r="AZ1010" i="37"/>
  <c r="BA1009" i="37"/>
  <c r="AZ1009" i="37"/>
  <c r="BA1008" i="37"/>
  <c r="AZ1008" i="37"/>
  <c r="BA1007" i="37"/>
  <c r="AZ1007" i="37"/>
  <c r="BA1006" i="37"/>
  <c r="AZ1006" i="37"/>
  <c r="BA1005" i="37"/>
  <c r="AZ1005" i="37"/>
  <c r="BA1004" i="37"/>
  <c r="AZ1004" i="37"/>
  <c r="BA1003" i="37"/>
  <c r="AZ1003" i="37"/>
  <c r="BA1002" i="37"/>
  <c r="AZ1002" i="37"/>
  <c r="BA1001" i="37"/>
  <c r="AZ1001" i="37"/>
  <c r="BA1000" i="37"/>
  <c r="AZ1000" i="37"/>
  <c r="BA999" i="37"/>
  <c r="AZ999" i="37"/>
  <c r="BA998" i="37"/>
  <c r="AZ998" i="37"/>
  <c r="BA997" i="37"/>
  <c r="AZ997" i="37"/>
  <c r="BA996" i="37"/>
  <c r="AZ996" i="37"/>
  <c r="BA995" i="37"/>
  <c r="AZ995" i="37"/>
  <c r="BA994" i="37"/>
  <c r="AZ994" i="37"/>
  <c r="BA993" i="37"/>
  <c r="AZ993" i="37"/>
  <c r="BA992" i="37"/>
  <c r="AZ992" i="37"/>
  <c r="BA991" i="37"/>
  <c r="AZ991" i="37"/>
  <c r="BA990" i="37"/>
  <c r="AZ990" i="37"/>
  <c r="BA989" i="37"/>
  <c r="AZ989" i="37"/>
  <c r="BA988" i="37"/>
  <c r="AZ988" i="37"/>
  <c r="BA987" i="37"/>
  <c r="AZ987" i="37"/>
  <c r="BA986" i="37"/>
  <c r="AZ986" i="37"/>
  <c r="BA985" i="37"/>
  <c r="AZ985" i="37"/>
  <c r="BA984" i="37"/>
  <c r="AZ984" i="37"/>
  <c r="BA983" i="37"/>
  <c r="AZ983" i="37"/>
  <c r="BA982" i="37"/>
  <c r="AZ982" i="37"/>
  <c r="BA981" i="37"/>
  <c r="AZ981" i="37"/>
  <c r="BA980" i="37"/>
  <c r="AZ980" i="37"/>
  <c r="BA979" i="37"/>
  <c r="AZ979" i="37"/>
  <c r="BA978" i="37"/>
  <c r="AZ978" i="37"/>
  <c r="BA977" i="37"/>
  <c r="AZ977" i="37"/>
  <c r="BA976" i="37"/>
  <c r="AZ976" i="37"/>
  <c r="BA975" i="37"/>
  <c r="AZ975" i="37"/>
  <c r="BA974" i="37"/>
  <c r="AZ974" i="37"/>
  <c r="BA973" i="37"/>
  <c r="AZ973" i="37"/>
  <c r="BA972" i="37"/>
  <c r="AZ972" i="37"/>
  <c r="BA971" i="37"/>
  <c r="AZ971" i="37"/>
  <c r="BA970" i="37"/>
  <c r="AZ970" i="37"/>
  <c r="BA969" i="37"/>
  <c r="AZ969" i="37"/>
  <c r="BA968" i="37"/>
  <c r="AZ968" i="37"/>
  <c r="BA967" i="37"/>
  <c r="AZ967" i="37"/>
  <c r="BA966" i="37"/>
  <c r="AZ966" i="37"/>
  <c r="BA965" i="37"/>
  <c r="AZ965" i="37"/>
  <c r="BA964" i="37"/>
  <c r="AZ964" i="37"/>
  <c r="BA963" i="37"/>
  <c r="AZ963" i="37"/>
  <c r="BA962" i="37"/>
  <c r="AZ962" i="37"/>
  <c r="BA961" i="37"/>
  <c r="AZ961" i="37"/>
  <c r="BA960" i="37"/>
  <c r="AZ960" i="37"/>
  <c r="BA959" i="37"/>
  <c r="AZ959" i="37"/>
  <c r="BA958" i="37"/>
  <c r="AZ958" i="37"/>
  <c r="BA957" i="37"/>
  <c r="AZ957" i="37"/>
  <c r="BA956" i="37"/>
  <c r="AZ956" i="37"/>
  <c r="BA955" i="37"/>
  <c r="AZ955" i="37"/>
  <c r="BA954" i="37"/>
  <c r="AZ954" i="37"/>
  <c r="BA953" i="37"/>
  <c r="AZ953" i="37"/>
  <c r="BA952" i="37"/>
  <c r="AZ952" i="37"/>
  <c r="BA951" i="37"/>
  <c r="AZ951" i="37"/>
  <c r="BA950" i="37"/>
  <c r="AZ950" i="37"/>
  <c r="BA949" i="37"/>
  <c r="AZ949" i="37"/>
  <c r="BA948" i="37"/>
  <c r="AZ948" i="37"/>
  <c r="BA947" i="37"/>
  <c r="AZ947" i="37"/>
  <c r="BA946" i="37"/>
  <c r="AZ946" i="37"/>
  <c r="BA945" i="37"/>
  <c r="AZ945" i="37"/>
  <c r="BA944" i="37"/>
  <c r="AZ944" i="37"/>
  <c r="BA943" i="37"/>
  <c r="AZ943" i="37"/>
  <c r="BA942" i="37"/>
  <c r="AZ942" i="37"/>
  <c r="BA941" i="37"/>
  <c r="AZ941" i="37"/>
  <c r="BA940" i="37"/>
  <c r="AZ940" i="37"/>
  <c r="BA939" i="37"/>
  <c r="AZ939" i="37"/>
  <c r="BA938" i="37"/>
  <c r="AZ938" i="37"/>
  <c r="BA937" i="37"/>
  <c r="AZ937" i="37"/>
  <c r="BA936" i="37"/>
  <c r="AZ936" i="37"/>
  <c r="BA935" i="37"/>
  <c r="AZ935" i="37"/>
  <c r="BA934" i="37"/>
  <c r="AZ934" i="37"/>
  <c r="BA933" i="37"/>
  <c r="AZ933" i="37"/>
  <c r="BA932" i="37"/>
  <c r="AZ932" i="37"/>
  <c r="BA931" i="37"/>
  <c r="AZ931" i="37"/>
  <c r="BA930" i="37"/>
  <c r="AZ930" i="37"/>
  <c r="BA929" i="37"/>
  <c r="AZ929" i="37"/>
  <c r="BA928" i="37"/>
  <c r="AZ928" i="37"/>
  <c r="BA927" i="37"/>
  <c r="AZ927" i="37"/>
  <c r="BA926" i="37"/>
  <c r="AZ926" i="37"/>
  <c r="BA925" i="37"/>
  <c r="AZ925" i="37"/>
  <c r="BA924" i="37"/>
  <c r="AZ924" i="37"/>
  <c r="BA923" i="37"/>
  <c r="AZ923" i="37"/>
  <c r="BA922" i="37"/>
  <c r="AZ922" i="37"/>
  <c r="BA921" i="37"/>
  <c r="AZ921" i="37"/>
  <c r="BA920" i="37"/>
  <c r="AZ920" i="37"/>
  <c r="BA919" i="37"/>
  <c r="AZ919" i="37"/>
  <c r="BA918" i="37"/>
  <c r="AZ918" i="37"/>
  <c r="BA917" i="37"/>
  <c r="AZ917" i="37"/>
  <c r="BA916" i="37"/>
  <c r="AZ916" i="37"/>
  <c r="BA915" i="37"/>
  <c r="AZ915" i="37"/>
  <c r="BA914" i="37"/>
  <c r="AZ914" i="37"/>
  <c r="BA913" i="37"/>
  <c r="AZ913" i="37"/>
  <c r="BA912" i="37"/>
  <c r="AZ912" i="37"/>
  <c r="BA911" i="37"/>
  <c r="AZ911" i="37"/>
  <c r="BA910" i="37"/>
  <c r="AZ910" i="37"/>
  <c r="BA909" i="37"/>
  <c r="AZ909" i="37"/>
  <c r="BA908" i="37"/>
  <c r="AZ908" i="37"/>
  <c r="BA907" i="37"/>
  <c r="AZ907" i="37"/>
  <c r="BA906" i="37"/>
  <c r="AZ906" i="37"/>
  <c r="BA905" i="37"/>
  <c r="AZ905" i="37"/>
  <c r="BA904" i="37"/>
  <c r="AZ904" i="37"/>
  <c r="BA903" i="37"/>
  <c r="AZ903" i="37"/>
  <c r="BA902" i="37"/>
  <c r="AZ902" i="37"/>
  <c r="BA901" i="37"/>
  <c r="AZ901" i="37"/>
  <c r="BA900" i="37"/>
  <c r="AZ900" i="37"/>
  <c r="BA899" i="37"/>
  <c r="AZ899" i="37"/>
  <c r="BA898" i="37"/>
  <c r="AZ898" i="37"/>
  <c r="BA897" i="37"/>
  <c r="AZ897" i="37"/>
  <c r="BA896" i="37"/>
  <c r="AZ896" i="37"/>
  <c r="BA895" i="37"/>
  <c r="AZ895" i="37"/>
  <c r="BA894" i="37"/>
  <c r="AZ894" i="37"/>
  <c r="BA893" i="37"/>
  <c r="AZ893" i="37"/>
  <c r="BA892" i="37"/>
  <c r="AZ892" i="37"/>
  <c r="BA891" i="37"/>
  <c r="AZ891" i="37"/>
  <c r="BA890" i="37"/>
  <c r="AZ890" i="37"/>
  <c r="BA889" i="37"/>
  <c r="AZ889" i="37"/>
  <c r="BA888" i="37"/>
  <c r="AZ888" i="37"/>
  <c r="BA887" i="37"/>
  <c r="AZ887" i="37"/>
  <c r="BA886" i="37"/>
  <c r="AZ886" i="37"/>
  <c r="BA885" i="37"/>
  <c r="AZ885" i="37"/>
  <c r="BA884" i="37"/>
  <c r="AZ884" i="37"/>
  <c r="BA883" i="37"/>
  <c r="AZ883" i="37"/>
  <c r="BA882" i="37"/>
  <c r="AZ882" i="37"/>
  <c r="BA881" i="37"/>
  <c r="AZ881" i="37"/>
  <c r="BA880" i="37"/>
  <c r="AZ880" i="37"/>
  <c r="BA879" i="37"/>
  <c r="AZ879" i="37"/>
  <c r="BA878" i="37"/>
  <c r="AZ878" i="37"/>
  <c r="BA877" i="37"/>
  <c r="AZ877" i="37"/>
  <c r="BA876" i="37"/>
  <c r="AZ876" i="37"/>
  <c r="BA875" i="37"/>
  <c r="AZ875" i="37"/>
  <c r="BA874" i="37"/>
  <c r="AZ874" i="37"/>
  <c r="BA873" i="37"/>
  <c r="AZ873" i="37"/>
  <c r="BA872" i="37"/>
  <c r="AZ872" i="37"/>
  <c r="BA871" i="37"/>
  <c r="AZ871" i="37"/>
  <c r="BA870" i="37"/>
  <c r="AZ870" i="37"/>
  <c r="BA869" i="37"/>
  <c r="AZ869" i="37"/>
  <c r="BA868" i="37"/>
  <c r="AZ868" i="37"/>
  <c r="BA867" i="37"/>
  <c r="AZ867" i="37"/>
  <c r="BA866" i="37"/>
  <c r="AZ866" i="37"/>
  <c r="BA865" i="37"/>
  <c r="AZ865" i="37"/>
  <c r="BA864" i="37"/>
  <c r="AZ864" i="37"/>
  <c r="BA863" i="37"/>
  <c r="AZ863" i="37"/>
  <c r="BA862" i="37"/>
  <c r="AZ862" i="37"/>
  <c r="BA861" i="37"/>
  <c r="AZ861" i="37"/>
  <c r="BA860" i="37"/>
  <c r="AZ860" i="37"/>
  <c r="BA859" i="37"/>
  <c r="AZ859" i="37"/>
  <c r="BA858" i="37"/>
  <c r="AZ858" i="37"/>
  <c r="BA857" i="37"/>
  <c r="AZ857" i="37"/>
  <c r="BA856" i="37"/>
  <c r="AZ856" i="37"/>
  <c r="BA855" i="37"/>
  <c r="AZ855" i="37"/>
  <c r="BA854" i="37"/>
  <c r="AZ854" i="37"/>
  <c r="BA853" i="37"/>
  <c r="AZ853" i="37"/>
  <c r="BA852" i="37"/>
  <c r="AZ852" i="37"/>
  <c r="BA851" i="37"/>
  <c r="AZ851" i="37"/>
  <c r="BA850" i="37"/>
  <c r="AZ850" i="37"/>
  <c r="BA849" i="37"/>
  <c r="AZ849" i="37"/>
  <c r="BA848" i="37"/>
  <c r="AZ848" i="37"/>
  <c r="BA847" i="37"/>
  <c r="AZ847" i="37"/>
  <c r="BA846" i="37"/>
  <c r="AZ846" i="37"/>
  <c r="BA845" i="37"/>
  <c r="AZ845" i="37"/>
  <c r="BA844" i="37"/>
  <c r="AZ844" i="37"/>
  <c r="BA843" i="37"/>
  <c r="AZ843" i="37"/>
  <c r="BA842" i="37"/>
  <c r="AZ842" i="37"/>
  <c r="BA841" i="37"/>
  <c r="AZ841" i="37"/>
  <c r="BA840" i="37"/>
  <c r="AZ840" i="37"/>
  <c r="BA839" i="37"/>
  <c r="AZ839" i="37"/>
  <c r="BA838" i="37"/>
  <c r="AZ838" i="37"/>
  <c r="BA837" i="37"/>
  <c r="AZ837" i="37"/>
  <c r="BA836" i="37"/>
  <c r="AZ836" i="37"/>
  <c r="BA835" i="37"/>
  <c r="AZ835" i="37"/>
  <c r="BA834" i="37"/>
  <c r="AZ834" i="37"/>
  <c r="BA833" i="37"/>
  <c r="AZ833" i="37"/>
  <c r="BA832" i="37"/>
  <c r="AZ832" i="37"/>
  <c r="BA831" i="37"/>
  <c r="AZ831" i="37"/>
  <c r="BA830" i="37"/>
  <c r="AZ830" i="37"/>
  <c r="BA829" i="37"/>
  <c r="AZ829" i="37"/>
  <c r="BA828" i="37"/>
  <c r="AZ828" i="37"/>
  <c r="BA827" i="37"/>
  <c r="AZ827" i="37"/>
  <c r="BA826" i="37"/>
  <c r="AZ826" i="37"/>
  <c r="BA825" i="37"/>
  <c r="AZ825" i="37"/>
  <c r="BA824" i="37"/>
  <c r="AZ824" i="37"/>
  <c r="BA823" i="37"/>
  <c r="AZ823" i="37"/>
  <c r="BA822" i="37"/>
  <c r="AZ822" i="37"/>
  <c r="BA821" i="37"/>
  <c r="AZ821" i="37"/>
  <c r="BA820" i="37"/>
  <c r="AZ820" i="37"/>
  <c r="BA819" i="37"/>
  <c r="AZ819" i="37"/>
  <c r="BA818" i="37"/>
  <c r="AZ818" i="37"/>
  <c r="BA817" i="37"/>
  <c r="AZ817" i="37"/>
  <c r="BA816" i="37"/>
  <c r="AZ816" i="37"/>
  <c r="BA815" i="37"/>
  <c r="AZ815" i="37"/>
  <c r="BA814" i="37"/>
  <c r="AZ814" i="37"/>
  <c r="BA813" i="37"/>
  <c r="AZ813" i="37"/>
  <c r="BA812" i="37"/>
  <c r="AZ812" i="37"/>
  <c r="BA811" i="37"/>
  <c r="AZ811" i="37"/>
  <c r="BA810" i="37"/>
  <c r="AZ810" i="37"/>
  <c r="BA809" i="37"/>
  <c r="AZ809" i="37"/>
  <c r="BA808" i="37"/>
  <c r="AZ808" i="37"/>
  <c r="BA807" i="37"/>
  <c r="AZ807" i="37"/>
  <c r="BA806" i="37"/>
  <c r="AZ806" i="37"/>
  <c r="BA805" i="37"/>
  <c r="AZ805" i="37"/>
  <c r="BA804" i="37"/>
  <c r="AZ804" i="37"/>
  <c r="BA803" i="37"/>
  <c r="AZ803" i="37"/>
  <c r="BA802" i="37"/>
  <c r="AZ802" i="37"/>
  <c r="BA801" i="37"/>
  <c r="AZ801" i="37"/>
  <c r="BA800" i="37"/>
  <c r="AZ800" i="37"/>
  <c r="BA799" i="37"/>
  <c r="AZ799" i="37"/>
  <c r="BA798" i="37"/>
  <c r="AZ798" i="37"/>
  <c r="BA797" i="37"/>
  <c r="AZ797" i="37"/>
  <c r="BA796" i="37"/>
  <c r="AZ796" i="37"/>
  <c r="BA795" i="37"/>
  <c r="AZ795" i="37"/>
  <c r="BA794" i="37"/>
  <c r="AZ794" i="37"/>
  <c r="BA793" i="37"/>
  <c r="AZ793" i="37"/>
  <c r="BA792" i="37"/>
  <c r="AZ792" i="37"/>
  <c r="BA791" i="37"/>
  <c r="AZ791" i="37"/>
  <c r="BA790" i="37"/>
  <c r="AZ790" i="37"/>
  <c r="BA789" i="37"/>
  <c r="AZ789" i="37"/>
  <c r="BA788" i="37"/>
  <c r="AZ788" i="37"/>
  <c r="BA787" i="37"/>
  <c r="AZ787" i="37"/>
  <c r="BA786" i="37"/>
  <c r="AZ786" i="37"/>
  <c r="BA785" i="37"/>
  <c r="AZ785" i="37"/>
  <c r="BA784" i="37"/>
  <c r="AZ784" i="37"/>
  <c r="BA783" i="37"/>
  <c r="AZ783" i="37"/>
  <c r="BA782" i="37"/>
  <c r="AZ782" i="37"/>
  <c r="BA781" i="37"/>
  <c r="AZ781" i="37"/>
  <c r="BA780" i="37"/>
  <c r="AZ780" i="37"/>
  <c r="BA779" i="37"/>
  <c r="AZ779" i="37"/>
  <c r="BA778" i="37"/>
  <c r="AZ778" i="37"/>
  <c r="BA777" i="37"/>
  <c r="AZ777" i="37"/>
  <c r="BA776" i="37"/>
  <c r="AZ776" i="37"/>
  <c r="BA775" i="37"/>
  <c r="AZ775" i="37"/>
  <c r="BA774" i="37"/>
  <c r="AZ774" i="37"/>
  <c r="BA773" i="37"/>
  <c r="AZ773" i="37"/>
  <c r="BA772" i="37"/>
  <c r="AZ772" i="37"/>
  <c r="BA771" i="37"/>
  <c r="AZ771" i="37"/>
  <c r="BA770" i="37"/>
  <c r="AZ770" i="37"/>
  <c r="BA769" i="37"/>
  <c r="AZ769" i="37"/>
  <c r="BA768" i="37"/>
  <c r="AZ768" i="37"/>
  <c r="BA767" i="37"/>
  <c r="AZ767" i="37"/>
  <c r="BA766" i="37"/>
  <c r="AZ766" i="37"/>
  <c r="BA765" i="37"/>
  <c r="AZ765" i="37"/>
  <c r="BA764" i="37"/>
  <c r="AZ764" i="37"/>
  <c r="BA763" i="37"/>
  <c r="AZ763" i="37"/>
  <c r="BA762" i="37"/>
  <c r="AZ762" i="37"/>
  <c r="BA761" i="37"/>
  <c r="AZ761" i="37"/>
  <c r="BA760" i="37"/>
  <c r="AZ760" i="37"/>
  <c r="BA759" i="37"/>
  <c r="AZ759" i="37"/>
  <c r="BA758" i="37"/>
  <c r="AZ758" i="37"/>
  <c r="BA757" i="37"/>
  <c r="AZ757" i="37"/>
  <c r="BA756" i="37"/>
  <c r="AZ756" i="37"/>
  <c r="BA755" i="37"/>
  <c r="AZ755" i="37"/>
  <c r="BA754" i="37"/>
  <c r="AZ754" i="37"/>
  <c r="BA753" i="37"/>
  <c r="AZ753" i="37"/>
  <c r="BA752" i="37"/>
  <c r="AZ752" i="37"/>
  <c r="BA751" i="37"/>
  <c r="AZ751" i="37"/>
  <c r="BA750" i="37"/>
  <c r="AZ750" i="37"/>
  <c r="BA749" i="37"/>
  <c r="AZ749" i="37"/>
  <c r="BA748" i="37"/>
  <c r="AZ748" i="37"/>
  <c r="BA747" i="37"/>
  <c r="AZ747" i="37"/>
  <c r="BA746" i="37"/>
  <c r="AZ746" i="37"/>
  <c r="BA745" i="37"/>
  <c r="AZ745" i="37"/>
  <c r="BA744" i="37"/>
  <c r="AZ744" i="37"/>
  <c r="BA743" i="37"/>
  <c r="AZ743" i="37"/>
  <c r="BA742" i="37"/>
  <c r="AZ742" i="37"/>
  <c r="BA741" i="37"/>
  <c r="AZ741" i="37"/>
  <c r="BA740" i="37"/>
  <c r="AZ740" i="37"/>
  <c r="BA739" i="37"/>
  <c r="AZ739" i="37"/>
  <c r="BA738" i="37"/>
  <c r="AZ738" i="37"/>
  <c r="BA737" i="37"/>
  <c r="AZ737" i="37"/>
  <c r="BA736" i="37"/>
  <c r="AZ736" i="37"/>
  <c r="BA735" i="37"/>
  <c r="AZ735" i="37"/>
  <c r="BA734" i="37"/>
  <c r="AZ734" i="37"/>
  <c r="BA733" i="37"/>
  <c r="AZ733" i="37"/>
  <c r="BA732" i="37"/>
  <c r="AZ732" i="37"/>
  <c r="BA731" i="37"/>
  <c r="AZ731" i="37"/>
  <c r="BA730" i="37"/>
  <c r="AZ730" i="37"/>
  <c r="BA729" i="37"/>
  <c r="AZ729" i="37"/>
  <c r="BA728" i="37"/>
  <c r="AZ728" i="37"/>
  <c r="BA727" i="37"/>
  <c r="AZ727" i="37"/>
  <c r="BA726" i="37"/>
  <c r="AZ726" i="37"/>
  <c r="BA725" i="37"/>
  <c r="AZ725" i="37"/>
  <c r="BA724" i="37"/>
  <c r="AZ724" i="37"/>
  <c r="BA723" i="37"/>
  <c r="AZ723" i="37"/>
  <c r="BA722" i="37"/>
  <c r="AZ722" i="37"/>
  <c r="BA721" i="37"/>
  <c r="AZ721" i="37"/>
  <c r="BA720" i="37"/>
  <c r="AZ720" i="37"/>
  <c r="BA719" i="37"/>
  <c r="AZ719" i="37"/>
  <c r="BA718" i="37"/>
  <c r="AZ718" i="37"/>
  <c r="BA717" i="37"/>
  <c r="AZ717" i="37"/>
  <c r="BA716" i="37"/>
  <c r="AZ716" i="37"/>
  <c r="BA715" i="37"/>
  <c r="AZ715" i="37"/>
  <c r="BA714" i="37"/>
  <c r="AZ714" i="37"/>
  <c r="BA713" i="37"/>
  <c r="AZ713" i="37"/>
  <c r="BA712" i="37"/>
  <c r="AZ712" i="37"/>
  <c r="BA711" i="37"/>
  <c r="AZ711" i="37"/>
  <c r="BA710" i="37"/>
  <c r="AZ710" i="37"/>
  <c r="BA709" i="37"/>
  <c r="AZ709" i="37"/>
  <c r="BA708" i="37"/>
  <c r="AZ708" i="37"/>
  <c r="BA707" i="37"/>
  <c r="AZ707" i="37"/>
  <c r="BA706" i="37"/>
  <c r="AZ706" i="37"/>
  <c r="BA705" i="37"/>
  <c r="AZ705" i="37"/>
  <c r="BA704" i="37"/>
  <c r="AZ704" i="37"/>
  <c r="BA703" i="37"/>
  <c r="AZ703" i="37"/>
  <c r="BA702" i="37"/>
  <c r="AZ702" i="37"/>
  <c r="BA701" i="37"/>
  <c r="AZ701" i="37"/>
  <c r="BA700" i="37"/>
  <c r="AZ700" i="37"/>
  <c r="BA699" i="37"/>
  <c r="AZ699" i="37"/>
  <c r="BA698" i="37"/>
  <c r="AZ698" i="37"/>
  <c r="BA697" i="37"/>
  <c r="AZ697" i="37"/>
  <c r="BA696" i="37"/>
  <c r="AZ696" i="37"/>
  <c r="BA695" i="37"/>
  <c r="AZ695" i="37"/>
  <c r="BA694" i="37"/>
  <c r="AZ694" i="37"/>
  <c r="BA693" i="37"/>
  <c r="AZ693" i="37"/>
  <c r="BA692" i="37"/>
  <c r="AZ692" i="37"/>
  <c r="BA691" i="37"/>
  <c r="AZ691" i="37"/>
  <c r="BA690" i="37"/>
  <c r="AZ690" i="37"/>
  <c r="BA689" i="37"/>
  <c r="AZ689" i="37"/>
  <c r="BA688" i="37"/>
  <c r="AZ688" i="37"/>
  <c r="BA687" i="37"/>
  <c r="AZ687" i="37"/>
  <c r="BA686" i="37"/>
  <c r="AZ686" i="37"/>
  <c r="BA685" i="37"/>
  <c r="AZ685" i="37"/>
  <c r="BA684" i="37"/>
  <c r="AZ684" i="37"/>
  <c r="BA683" i="37"/>
  <c r="AZ683" i="37"/>
  <c r="BA682" i="37"/>
  <c r="AZ682" i="37"/>
  <c r="BA681" i="37"/>
  <c r="AZ681" i="37"/>
  <c r="BA680" i="37"/>
  <c r="AZ680" i="37"/>
  <c r="BA679" i="37"/>
  <c r="AZ679" i="37"/>
  <c r="BA678" i="37"/>
  <c r="AZ678" i="37"/>
  <c r="BA677" i="37"/>
  <c r="AZ677" i="37"/>
  <c r="BA676" i="37"/>
  <c r="AZ676" i="37"/>
  <c r="BA675" i="37"/>
  <c r="AZ675" i="37"/>
  <c r="BA674" i="37"/>
  <c r="AZ674" i="37"/>
  <c r="BA673" i="37"/>
  <c r="AZ673" i="37"/>
  <c r="BA672" i="37"/>
  <c r="AZ672" i="37"/>
  <c r="BA671" i="37"/>
  <c r="AZ671" i="37"/>
  <c r="BA670" i="37"/>
  <c r="AZ670" i="37"/>
  <c r="BA669" i="37"/>
  <c r="AZ669" i="37"/>
  <c r="BA668" i="37"/>
  <c r="AZ668" i="37"/>
  <c r="BA667" i="37"/>
  <c r="AZ667" i="37"/>
  <c r="BA666" i="37"/>
  <c r="AZ666" i="37"/>
  <c r="BA665" i="37"/>
  <c r="AZ665" i="37"/>
  <c r="BA664" i="37"/>
  <c r="AZ664" i="37"/>
  <c r="BA663" i="37"/>
  <c r="AZ663" i="37"/>
  <c r="BA662" i="37"/>
  <c r="AZ662" i="37"/>
  <c r="BA661" i="37"/>
  <c r="AZ661" i="37"/>
  <c r="BA660" i="37"/>
  <c r="AZ660" i="37"/>
  <c r="BA659" i="37"/>
  <c r="AZ659" i="37"/>
  <c r="BA658" i="37"/>
  <c r="AZ658" i="37"/>
  <c r="BA657" i="37"/>
  <c r="AZ657" i="37"/>
  <c r="BA656" i="37"/>
  <c r="AZ656" i="37"/>
  <c r="BA655" i="37"/>
  <c r="AZ655" i="37"/>
  <c r="BA654" i="37"/>
  <c r="AZ654" i="37"/>
  <c r="BA653" i="37"/>
  <c r="AZ653" i="37"/>
  <c r="BA652" i="37"/>
  <c r="AZ652" i="37"/>
  <c r="BA651" i="37"/>
  <c r="AZ651" i="37"/>
  <c r="BA650" i="37"/>
  <c r="AZ650" i="37"/>
  <c r="BA649" i="37"/>
  <c r="AZ649" i="37"/>
  <c r="BA648" i="37"/>
  <c r="AZ648" i="37"/>
  <c r="BA647" i="37"/>
  <c r="AZ647" i="37"/>
  <c r="BA646" i="37"/>
  <c r="AZ646" i="37"/>
  <c r="BA645" i="37"/>
  <c r="AZ645" i="37"/>
  <c r="BA644" i="37"/>
  <c r="AZ644" i="37"/>
  <c r="BA643" i="37"/>
  <c r="AZ643" i="37"/>
  <c r="BA642" i="37"/>
  <c r="AZ642" i="37"/>
  <c r="BA641" i="37"/>
  <c r="AZ641" i="37"/>
  <c r="BA640" i="37"/>
  <c r="AZ640" i="37"/>
  <c r="BA639" i="37"/>
  <c r="AZ639" i="37"/>
  <c r="BA638" i="37"/>
  <c r="AZ638" i="37"/>
  <c r="BA637" i="37"/>
  <c r="AZ637" i="37"/>
  <c r="BA636" i="37"/>
  <c r="AZ636" i="37"/>
  <c r="BA635" i="37"/>
  <c r="AZ635" i="37"/>
  <c r="BA634" i="37"/>
  <c r="AZ634" i="37"/>
  <c r="BA633" i="37"/>
  <c r="AZ633" i="37"/>
  <c r="BA632" i="37"/>
  <c r="AZ632" i="37"/>
  <c r="BA631" i="37"/>
  <c r="AZ631" i="37"/>
  <c r="BA630" i="37"/>
  <c r="AZ630" i="37"/>
  <c r="BA629" i="37"/>
  <c r="AZ629" i="37"/>
  <c r="BA628" i="37"/>
  <c r="AZ628" i="37"/>
  <c r="BA627" i="37"/>
  <c r="AZ627" i="37"/>
  <c r="BA626" i="37"/>
  <c r="AZ626" i="37"/>
  <c r="BA625" i="37"/>
  <c r="AZ625" i="37"/>
  <c r="BA624" i="37"/>
  <c r="AZ624" i="37"/>
  <c r="BA623" i="37"/>
  <c r="AZ623" i="37"/>
  <c r="BA622" i="37"/>
  <c r="AZ622" i="37"/>
  <c r="BA621" i="37"/>
  <c r="AZ621" i="37"/>
  <c r="BA620" i="37"/>
  <c r="AZ620" i="37"/>
  <c r="BA619" i="37"/>
  <c r="AZ619" i="37"/>
  <c r="BA618" i="37"/>
  <c r="AZ618" i="37"/>
  <c r="BA617" i="37"/>
  <c r="AZ617" i="37"/>
  <c r="BA616" i="37"/>
  <c r="AZ616" i="37"/>
  <c r="BA615" i="37"/>
  <c r="AZ615" i="37"/>
  <c r="BA614" i="37"/>
  <c r="AZ614" i="37"/>
  <c r="BA613" i="37"/>
  <c r="AZ613" i="37"/>
  <c r="BA612" i="37"/>
  <c r="AZ612" i="37"/>
  <c r="BA611" i="37"/>
  <c r="AZ611" i="37"/>
  <c r="BA610" i="37"/>
  <c r="AZ610" i="37"/>
  <c r="BA609" i="37"/>
  <c r="AZ609" i="37"/>
  <c r="BA608" i="37"/>
  <c r="AZ608" i="37"/>
  <c r="BA607" i="37"/>
  <c r="AZ607" i="37"/>
  <c r="BA606" i="37"/>
  <c r="AZ606" i="37"/>
  <c r="BA605" i="37"/>
  <c r="AZ605" i="37"/>
  <c r="BA604" i="37"/>
  <c r="AZ604" i="37"/>
  <c r="BA603" i="37"/>
  <c r="AZ603" i="37"/>
  <c r="BA602" i="37"/>
  <c r="AZ602" i="37"/>
  <c r="BA601" i="37"/>
  <c r="AZ601" i="37"/>
  <c r="BA600" i="37"/>
  <c r="AZ600" i="37"/>
  <c r="BA599" i="37"/>
  <c r="AZ599" i="37"/>
  <c r="BA598" i="37"/>
  <c r="AZ598" i="37"/>
  <c r="BA597" i="37"/>
  <c r="AZ597" i="37"/>
  <c r="BA596" i="37"/>
  <c r="AZ596" i="37"/>
  <c r="BA595" i="37"/>
  <c r="AZ595" i="37"/>
  <c r="BA594" i="37"/>
  <c r="AZ594" i="37"/>
  <c r="BA593" i="37"/>
  <c r="AZ593" i="37"/>
  <c r="BA592" i="37"/>
  <c r="AZ592" i="37"/>
  <c r="BA591" i="37"/>
  <c r="AZ591" i="37"/>
  <c r="BA590" i="37"/>
  <c r="AZ590" i="37"/>
  <c r="BA589" i="37"/>
  <c r="AZ589" i="37"/>
  <c r="BA588" i="37"/>
  <c r="AZ588" i="37"/>
  <c r="BA587" i="37"/>
  <c r="AZ587" i="37"/>
  <c r="BA586" i="37"/>
  <c r="AZ586" i="37"/>
  <c r="BA585" i="37"/>
  <c r="AZ585" i="37"/>
  <c r="BA584" i="37"/>
  <c r="AZ584" i="37"/>
  <c r="BA583" i="37"/>
  <c r="AZ583" i="37"/>
  <c r="BA582" i="37"/>
  <c r="AZ582" i="37"/>
  <c r="BA581" i="37"/>
  <c r="AZ581" i="37"/>
  <c r="BA580" i="37"/>
  <c r="AZ580" i="37"/>
  <c r="BA579" i="37"/>
  <c r="AZ579" i="37"/>
  <c r="BA578" i="37"/>
  <c r="AZ578" i="37"/>
  <c r="BA577" i="37"/>
  <c r="AZ577" i="37"/>
  <c r="BA576" i="37"/>
  <c r="AZ576" i="37"/>
  <c r="BA575" i="37"/>
  <c r="AZ575" i="37"/>
  <c r="BA574" i="37"/>
  <c r="AZ574" i="37"/>
  <c r="BA573" i="37"/>
  <c r="AZ573" i="37"/>
  <c r="BA572" i="37"/>
  <c r="AZ572" i="37"/>
  <c r="BA571" i="37"/>
  <c r="AZ571" i="37"/>
  <c r="BA570" i="37"/>
  <c r="AZ570" i="37"/>
  <c r="BA569" i="37"/>
  <c r="AZ569" i="37"/>
  <c r="BA568" i="37"/>
  <c r="AZ568" i="37"/>
  <c r="BA567" i="37"/>
  <c r="AZ567" i="37"/>
  <c r="BA566" i="37"/>
  <c r="AZ566" i="37"/>
  <c r="BA565" i="37"/>
  <c r="AZ565" i="37"/>
  <c r="BA564" i="37"/>
  <c r="AZ564" i="37"/>
  <c r="BA563" i="37"/>
  <c r="AZ563" i="37"/>
  <c r="BA562" i="37"/>
  <c r="AZ562" i="37"/>
  <c r="BA561" i="37"/>
  <c r="AZ561" i="37"/>
  <c r="BA560" i="37"/>
  <c r="AZ560" i="37"/>
  <c r="BA559" i="37"/>
  <c r="AZ559" i="37"/>
  <c r="BA558" i="37"/>
  <c r="AZ558" i="37"/>
  <c r="BA557" i="37"/>
  <c r="AZ557" i="37"/>
  <c r="BA556" i="37"/>
  <c r="AZ556" i="37"/>
  <c r="BA555" i="37"/>
  <c r="AZ555" i="37"/>
  <c r="BA554" i="37"/>
  <c r="AZ554" i="37"/>
  <c r="BA553" i="37"/>
  <c r="AZ553" i="37"/>
  <c r="BA552" i="37"/>
  <c r="AZ552" i="37"/>
  <c r="BA551" i="37"/>
  <c r="AZ551" i="37"/>
  <c r="BA550" i="37"/>
  <c r="AZ550" i="37"/>
  <c r="BA549" i="37"/>
  <c r="AZ549" i="37"/>
  <c r="BA548" i="37"/>
  <c r="AZ548" i="37"/>
  <c r="BA547" i="37"/>
  <c r="AZ547" i="37"/>
  <c r="BA546" i="37"/>
  <c r="AZ546" i="37"/>
  <c r="BA545" i="37"/>
  <c r="AZ545" i="37"/>
  <c r="BA544" i="37"/>
  <c r="AZ544" i="37"/>
  <c r="BA543" i="37"/>
  <c r="AZ543" i="37"/>
  <c r="BA542" i="37"/>
  <c r="AZ542" i="37"/>
  <c r="BA541" i="37"/>
  <c r="AZ541" i="37"/>
  <c r="BA540" i="37"/>
  <c r="AZ540" i="37"/>
  <c r="BA539" i="37"/>
  <c r="AZ539" i="37"/>
  <c r="BA538" i="37"/>
  <c r="AZ538" i="37"/>
  <c r="BA537" i="37"/>
  <c r="AZ537" i="37"/>
  <c r="BA536" i="37"/>
  <c r="AZ536" i="37"/>
  <c r="BA535" i="37"/>
  <c r="AZ535" i="37"/>
  <c r="BA534" i="37"/>
  <c r="AZ534" i="37"/>
  <c r="BA533" i="37"/>
  <c r="AZ533" i="37"/>
  <c r="BA532" i="37"/>
  <c r="AZ532" i="37"/>
  <c r="BA531" i="37"/>
  <c r="AZ531" i="37"/>
  <c r="BA530" i="37"/>
  <c r="AZ530" i="37"/>
  <c r="BA529" i="37"/>
  <c r="AZ529" i="37"/>
  <c r="BA528" i="37"/>
  <c r="AZ528" i="37"/>
  <c r="BA527" i="37"/>
  <c r="AZ527" i="37"/>
  <c r="BA526" i="37"/>
  <c r="AZ526" i="37"/>
  <c r="BA525" i="37"/>
  <c r="AZ525" i="37"/>
  <c r="BA524" i="37"/>
  <c r="AZ524" i="37"/>
  <c r="BA523" i="37"/>
  <c r="AZ523" i="37"/>
  <c r="BA522" i="37"/>
  <c r="AZ522" i="37"/>
  <c r="BA521" i="37"/>
  <c r="AZ521" i="37"/>
  <c r="BA520" i="37"/>
  <c r="AZ520" i="37"/>
  <c r="BA519" i="37"/>
  <c r="AZ519" i="37"/>
  <c r="BA518" i="37"/>
  <c r="AZ518" i="37"/>
  <c r="BA517" i="37"/>
  <c r="AZ517" i="37"/>
  <c r="BA516" i="37"/>
  <c r="AZ516" i="37"/>
  <c r="BA515" i="37"/>
  <c r="AZ515" i="37"/>
  <c r="BA514" i="37"/>
  <c r="AZ514" i="37"/>
  <c r="BA513" i="37"/>
  <c r="AZ513" i="37"/>
  <c r="BA512" i="37"/>
  <c r="AZ512" i="37"/>
  <c r="BA511" i="37"/>
  <c r="AZ511" i="37"/>
  <c r="BA510" i="37"/>
  <c r="AZ510" i="37"/>
  <c r="BA509" i="37"/>
  <c r="AZ509" i="37"/>
  <c r="BA508" i="37"/>
  <c r="AZ508" i="37"/>
  <c r="BA507" i="37"/>
  <c r="AZ507" i="37"/>
  <c r="BA506" i="37"/>
  <c r="AZ506" i="37"/>
  <c r="BA505" i="37"/>
  <c r="AZ505" i="37"/>
  <c r="BA504" i="37"/>
  <c r="AZ504" i="37"/>
  <c r="BA503" i="37"/>
  <c r="AZ503" i="37"/>
  <c r="BA502" i="37"/>
  <c r="AZ502" i="37"/>
  <c r="BA501" i="37"/>
  <c r="AZ501" i="37"/>
  <c r="BA500" i="37"/>
  <c r="AZ500" i="37"/>
  <c r="BA499" i="37"/>
  <c r="AZ499" i="37"/>
  <c r="BA498" i="37"/>
  <c r="AZ498" i="37"/>
  <c r="BA497" i="37"/>
  <c r="AZ497" i="37"/>
  <c r="BA496" i="37"/>
  <c r="AZ496" i="37"/>
  <c r="BA495" i="37"/>
  <c r="AZ495" i="37"/>
  <c r="BA494" i="37"/>
  <c r="AZ494" i="37"/>
  <c r="BA493" i="37"/>
  <c r="AZ493" i="37"/>
  <c r="BA492" i="37"/>
  <c r="AZ492" i="37"/>
  <c r="BA491" i="37"/>
  <c r="AZ491" i="37"/>
  <c r="BA490" i="37"/>
  <c r="AZ490" i="37"/>
  <c r="BA489" i="37"/>
  <c r="AZ489" i="37"/>
  <c r="BA488" i="37"/>
  <c r="AZ488" i="37"/>
  <c r="BA487" i="37"/>
  <c r="AZ487" i="37"/>
  <c r="BA486" i="37"/>
  <c r="AZ486" i="37"/>
  <c r="BA485" i="37"/>
  <c r="AZ485" i="37"/>
  <c r="BA484" i="37"/>
  <c r="AZ484" i="37"/>
  <c r="BA483" i="37"/>
  <c r="AZ483" i="37"/>
  <c r="BA482" i="37"/>
  <c r="AZ482" i="37"/>
  <c r="BA481" i="37"/>
  <c r="AZ481" i="37"/>
  <c r="BA480" i="37"/>
  <c r="AZ480" i="37"/>
  <c r="BA479" i="37"/>
  <c r="AZ479" i="37"/>
  <c r="BA478" i="37"/>
  <c r="AZ478" i="37"/>
  <c r="BA477" i="37"/>
  <c r="AZ477" i="37"/>
  <c r="BA476" i="37"/>
  <c r="AZ476" i="37"/>
  <c r="BA475" i="37"/>
  <c r="AZ475" i="37"/>
  <c r="BA474" i="37"/>
  <c r="AZ474" i="37"/>
  <c r="BA473" i="37"/>
  <c r="AZ473" i="37"/>
  <c r="BA472" i="37"/>
  <c r="AZ472" i="37"/>
  <c r="BA471" i="37"/>
  <c r="AZ471" i="37"/>
  <c r="BA470" i="37"/>
  <c r="AZ470" i="37"/>
  <c r="BA469" i="37"/>
  <c r="AZ469" i="37"/>
  <c r="BA468" i="37"/>
  <c r="AZ468" i="37"/>
  <c r="BA467" i="37"/>
  <c r="AZ467" i="37"/>
  <c r="BA466" i="37"/>
  <c r="AZ466" i="37"/>
  <c r="BA465" i="37"/>
  <c r="AZ465" i="37"/>
  <c r="BA464" i="37"/>
  <c r="AZ464" i="37"/>
  <c r="BA463" i="37"/>
  <c r="AZ463" i="37"/>
  <c r="BA462" i="37"/>
  <c r="AZ462" i="37"/>
  <c r="BA461" i="37"/>
  <c r="AZ461" i="37"/>
  <c r="BA460" i="37"/>
  <c r="AZ460" i="37"/>
  <c r="BA459" i="37"/>
  <c r="AZ459" i="37"/>
  <c r="BA458" i="37"/>
  <c r="AZ458" i="37"/>
  <c r="BA457" i="37"/>
  <c r="AZ457" i="37"/>
  <c r="BA456" i="37"/>
  <c r="AZ456" i="37"/>
  <c r="BA455" i="37"/>
  <c r="AZ455" i="37"/>
  <c r="BA454" i="37"/>
  <c r="AZ454" i="37"/>
  <c r="BA453" i="37"/>
  <c r="AZ453" i="37"/>
  <c r="BA452" i="37"/>
  <c r="AZ452" i="37"/>
  <c r="BA451" i="37"/>
  <c r="AZ451" i="37"/>
  <c r="BA450" i="37"/>
  <c r="AZ450" i="37"/>
  <c r="BA449" i="37"/>
  <c r="AZ449" i="37"/>
  <c r="BA448" i="37"/>
  <c r="AZ448" i="37"/>
  <c r="BA447" i="37"/>
  <c r="AZ447" i="37"/>
  <c r="BA446" i="37"/>
  <c r="AZ446" i="37"/>
  <c r="BA445" i="37"/>
  <c r="AZ445" i="37"/>
  <c r="BA444" i="37"/>
  <c r="AZ444" i="37"/>
  <c r="BA443" i="37"/>
  <c r="AZ443" i="37"/>
  <c r="BA442" i="37"/>
  <c r="AZ442" i="37"/>
  <c r="BA441" i="37"/>
  <c r="AZ441" i="37"/>
  <c r="BA440" i="37"/>
  <c r="AZ440" i="37"/>
  <c r="BA439" i="37"/>
  <c r="AZ439" i="37"/>
  <c r="BA438" i="37"/>
  <c r="AZ438" i="37"/>
  <c r="BA437" i="37"/>
  <c r="AZ437" i="37"/>
  <c r="BA436" i="37"/>
  <c r="AZ436" i="37"/>
  <c r="BA435" i="37"/>
  <c r="AZ435" i="37"/>
  <c r="BA434" i="37"/>
  <c r="AZ434" i="37"/>
  <c r="BA433" i="37"/>
  <c r="AZ433" i="37"/>
  <c r="BA432" i="37"/>
  <c r="AZ432" i="37"/>
  <c r="BA431" i="37"/>
  <c r="AZ431" i="37"/>
  <c r="BA430" i="37"/>
  <c r="AZ430" i="37"/>
  <c r="BA429" i="37"/>
  <c r="AZ429" i="37"/>
  <c r="BA428" i="37"/>
  <c r="AZ428" i="37"/>
  <c r="BA427" i="37"/>
  <c r="AZ427" i="37"/>
  <c r="BA426" i="37"/>
  <c r="AZ426" i="37"/>
  <c r="BA425" i="37"/>
  <c r="AZ425" i="37"/>
  <c r="BA424" i="37"/>
  <c r="AZ424" i="37"/>
  <c r="BA423" i="37"/>
  <c r="AZ423" i="37"/>
  <c r="BA422" i="37"/>
  <c r="AZ422" i="37"/>
  <c r="BA421" i="37"/>
  <c r="AZ421" i="37"/>
  <c r="BA420" i="37"/>
  <c r="AZ420" i="37"/>
  <c r="BA419" i="37"/>
  <c r="AZ419" i="37"/>
  <c r="BA418" i="37"/>
  <c r="AZ418" i="37"/>
  <c r="BA417" i="37"/>
  <c r="AZ417" i="37"/>
  <c r="BA416" i="37"/>
  <c r="AZ416" i="37"/>
  <c r="BA415" i="37"/>
  <c r="AZ415" i="37"/>
  <c r="BA414" i="37"/>
  <c r="AZ414" i="37"/>
  <c r="BA413" i="37"/>
  <c r="AZ413" i="37"/>
  <c r="BA412" i="37"/>
  <c r="AZ412" i="37"/>
  <c r="BA411" i="37"/>
  <c r="AZ411" i="37"/>
  <c r="BA410" i="37"/>
  <c r="AZ410" i="37"/>
  <c r="BA409" i="37"/>
  <c r="AZ409" i="37"/>
  <c r="BA408" i="37"/>
  <c r="AZ408" i="37"/>
  <c r="BA407" i="37"/>
  <c r="AZ407" i="37"/>
  <c r="BA406" i="37"/>
  <c r="AZ406" i="37"/>
  <c r="BA405" i="37"/>
  <c r="AZ405" i="37"/>
  <c r="BA404" i="37"/>
  <c r="AZ404" i="37"/>
  <c r="BA403" i="37"/>
  <c r="AZ403" i="37"/>
  <c r="BA402" i="37"/>
  <c r="AZ402" i="37"/>
  <c r="BA401" i="37"/>
  <c r="AZ401" i="37"/>
  <c r="BA400" i="37"/>
  <c r="AZ400" i="37"/>
  <c r="BA399" i="37"/>
  <c r="AZ399" i="37"/>
  <c r="BA398" i="37"/>
  <c r="AZ398" i="37"/>
  <c r="BA397" i="37"/>
  <c r="AZ397" i="37"/>
  <c r="BA396" i="37"/>
  <c r="AZ396" i="37"/>
  <c r="BA395" i="37"/>
  <c r="AZ395" i="37"/>
  <c r="BA394" i="37"/>
  <c r="AZ394" i="37"/>
  <c r="BA393" i="37"/>
  <c r="AZ393" i="37"/>
  <c r="BA392" i="37"/>
  <c r="AZ392" i="37"/>
  <c r="BA391" i="37"/>
  <c r="AZ391" i="37"/>
  <c r="BA390" i="37"/>
  <c r="AZ390" i="37"/>
  <c r="BA389" i="37"/>
  <c r="AZ389" i="37"/>
  <c r="BA388" i="37"/>
  <c r="AZ388" i="37"/>
  <c r="BA387" i="37"/>
  <c r="AZ387" i="37"/>
  <c r="BA386" i="37"/>
  <c r="AZ386" i="37"/>
  <c r="BA385" i="37"/>
  <c r="AZ385" i="37"/>
  <c r="BA384" i="37"/>
  <c r="AZ384" i="37"/>
  <c r="BA383" i="37"/>
  <c r="AZ383" i="37"/>
  <c r="BA382" i="37"/>
  <c r="AZ382" i="37"/>
  <c r="BA381" i="37"/>
  <c r="AZ381" i="37"/>
  <c r="BA380" i="37"/>
  <c r="AZ380" i="37"/>
  <c r="BA379" i="37"/>
  <c r="AZ379" i="37"/>
  <c r="BA378" i="37"/>
  <c r="AZ378" i="37"/>
  <c r="BA377" i="37"/>
  <c r="AZ377" i="37"/>
  <c r="BA376" i="37"/>
  <c r="AZ376" i="37"/>
  <c r="BA375" i="37"/>
  <c r="AZ375" i="37"/>
  <c r="BA374" i="37"/>
  <c r="AZ374" i="37"/>
  <c r="BA373" i="37"/>
  <c r="AZ373" i="37"/>
  <c r="BA372" i="37"/>
  <c r="AZ372" i="37"/>
  <c r="BA371" i="37"/>
  <c r="AZ371" i="37"/>
  <c r="BA370" i="37"/>
  <c r="AZ370" i="37"/>
  <c r="BA369" i="37"/>
  <c r="AZ369" i="37"/>
  <c r="BA368" i="37"/>
  <c r="AZ368" i="37"/>
  <c r="BA367" i="37"/>
  <c r="AZ367" i="37"/>
  <c r="BA366" i="37"/>
  <c r="AZ366" i="37"/>
  <c r="BA365" i="37"/>
  <c r="AZ365" i="37"/>
  <c r="BA364" i="37"/>
  <c r="AZ364" i="37"/>
  <c r="BA363" i="37"/>
  <c r="AZ363" i="37"/>
  <c r="BA362" i="37"/>
  <c r="AZ362" i="37"/>
  <c r="BA361" i="37"/>
  <c r="AZ361" i="37"/>
  <c r="BA360" i="37"/>
  <c r="AZ360" i="37"/>
  <c r="BA359" i="37"/>
  <c r="AZ359" i="37"/>
  <c r="BA358" i="37"/>
  <c r="AZ358" i="37"/>
  <c r="BA357" i="37"/>
  <c r="AZ357" i="37"/>
  <c r="BA356" i="37"/>
  <c r="AZ356" i="37"/>
  <c r="BA355" i="37"/>
  <c r="AZ355" i="37"/>
  <c r="BA354" i="37"/>
  <c r="AZ354" i="37"/>
  <c r="BA353" i="37"/>
  <c r="AZ353" i="37"/>
  <c r="BA352" i="37"/>
  <c r="AZ352" i="37"/>
  <c r="BA351" i="37"/>
  <c r="AZ351" i="37"/>
  <c r="BA350" i="37"/>
  <c r="AZ350" i="37"/>
  <c r="BA349" i="37"/>
  <c r="AZ349" i="37"/>
  <c r="BA348" i="37"/>
  <c r="AZ348" i="37"/>
  <c r="BA347" i="37"/>
  <c r="AZ347" i="37"/>
  <c r="BA346" i="37"/>
  <c r="AZ346" i="37"/>
  <c r="BA345" i="37"/>
  <c r="AZ345" i="37"/>
  <c r="BA344" i="37"/>
  <c r="AZ344" i="37"/>
  <c r="BA343" i="37"/>
  <c r="AZ343" i="37"/>
  <c r="BA342" i="37"/>
  <c r="AZ342" i="37"/>
  <c r="BA341" i="37"/>
  <c r="AZ341" i="37"/>
  <c r="BA340" i="37"/>
  <c r="AZ340" i="37"/>
  <c r="BA339" i="37"/>
  <c r="AZ339" i="37"/>
  <c r="BA338" i="37"/>
  <c r="AZ338" i="37"/>
  <c r="BA337" i="37"/>
  <c r="AZ337" i="37"/>
  <c r="BA336" i="37"/>
  <c r="AZ336" i="37"/>
  <c r="BA335" i="37"/>
  <c r="AZ335" i="37"/>
  <c r="BA334" i="37"/>
  <c r="AZ334" i="37"/>
  <c r="BA333" i="37"/>
  <c r="AZ333" i="37"/>
  <c r="BA332" i="37"/>
  <c r="AZ332" i="37"/>
  <c r="BA331" i="37"/>
  <c r="AZ331" i="37"/>
  <c r="BA330" i="37"/>
  <c r="AZ330" i="37"/>
  <c r="BA329" i="37"/>
  <c r="AZ329" i="37"/>
  <c r="BA328" i="37"/>
  <c r="AZ328" i="37"/>
  <c r="BA327" i="37"/>
  <c r="AZ327" i="37"/>
  <c r="BA326" i="37"/>
  <c r="AZ326" i="37"/>
  <c r="BA325" i="37"/>
  <c r="AZ325" i="37"/>
  <c r="BA324" i="37"/>
  <c r="AZ324" i="37"/>
  <c r="BA323" i="37"/>
  <c r="AZ323" i="37"/>
  <c r="BA322" i="37"/>
  <c r="AZ322" i="37"/>
  <c r="BA321" i="37"/>
  <c r="AZ321" i="37"/>
  <c r="BA320" i="37"/>
  <c r="AZ320" i="37"/>
  <c r="BA319" i="37"/>
  <c r="AZ319" i="37"/>
  <c r="BA318" i="37"/>
  <c r="AZ318" i="37"/>
  <c r="BA317" i="37"/>
  <c r="AZ317" i="37"/>
  <c r="BA316" i="37"/>
  <c r="AZ316" i="37"/>
  <c r="BA315" i="37"/>
  <c r="AZ315" i="37"/>
  <c r="BA314" i="37"/>
  <c r="AZ314" i="37"/>
  <c r="BA313" i="37"/>
  <c r="AZ313" i="37"/>
  <c r="BA312" i="37"/>
  <c r="AZ312" i="37"/>
  <c r="BA311" i="37"/>
  <c r="AZ311" i="37"/>
  <c r="BA310" i="37"/>
  <c r="AZ310" i="37"/>
  <c r="BA309" i="37"/>
  <c r="AZ309" i="37"/>
  <c r="BA308" i="37"/>
  <c r="AZ308" i="37"/>
  <c r="BA307" i="37"/>
  <c r="AZ307" i="37"/>
  <c r="BA306" i="37"/>
  <c r="AZ306" i="37"/>
  <c r="BA305" i="37"/>
  <c r="AZ305" i="37"/>
  <c r="BA304" i="37"/>
  <c r="AZ304" i="37"/>
  <c r="BA303" i="37"/>
  <c r="AZ303" i="37"/>
  <c r="BA302" i="37"/>
  <c r="AZ302" i="37"/>
  <c r="BA301" i="37"/>
  <c r="AZ301" i="37"/>
  <c r="BA300" i="37"/>
  <c r="AZ300" i="37"/>
  <c r="BA299" i="37"/>
  <c r="AZ299" i="37"/>
  <c r="BA298" i="37"/>
  <c r="AZ298" i="37"/>
  <c r="BA297" i="37"/>
  <c r="AZ297" i="37"/>
  <c r="BA296" i="37"/>
  <c r="AZ296" i="37"/>
  <c r="BA295" i="37"/>
  <c r="AZ295" i="37"/>
  <c r="BA294" i="37"/>
  <c r="AZ294" i="37"/>
  <c r="BA293" i="37"/>
  <c r="AZ293" i="37"/>
  <c r="BA292" i="37"/>
  <c r="AZ292" i="37"/>
  <c r="BA291" i="37"/>
  <c r="AZ291" i="37"/>
  <c r="BA290" i="37"/>
  <c r="AZ290" i="37"/>
  <c r="BA289" i="37"/>
  <c r="AZ289" i="37"/>
  <c r="BA288" i="37"/>
  <c r="AZ288" i="37"/>
  <c r="BA287" i="37"/>
  <c r="AZ287" i="37"/>
  <c r="BA286" i="37"/>
  <c r="AZ286" i="37"/>
  <c r="BA285" i="37"/>
  <c r="AZ285" i="37"/>
  <c r="BA284" i="37"/>
  <c r="AZ284" i="37"/>
  <c r="BA283" i="37"/>
  <c r="AZ283" i="37"/>
  <c r="BA282" i="37"/>
  <c r="AZ282" i="37"/>
  <c r="BA281" i="37"/>
  <c r="AZ281" i="37"/>
  <c r="BA280" i="37"/>
  <c r="AZ280" i="37"/>
  <c r="BA279" i="37"/>
  <c r="AZ279" i="37"/>
  <c r="BA278" i="37"/>
  <c r="AZ278" i="37"/>
  <c r="BA277" i="37"/>
  <c r="AZ277" i="37"/>
  <c r="BA276" i="37"/>
  <c r="AZ276" i="37"/>
  <c r="BA275" i="37"/>
  <c r="AZ275" i="37"/>
  <c r="BA274" i="37"/>
  <c r="AZ274" i="37"/>
  <c r="BA273" i="37"/>
  <c r="AZ273" i="37"/>
  <c r="BA272" i="37"/>
  <c r="AZ272" i="37"/>
  <c r="BA271" i="37"/>
  <c r="AZ271" i="37"/>
  <c r="BA270" i="37"/>
  <c r="AZ270" i="37"/>
  <c r="BA269" i="37"/>
  <c r="AZ269" i="37"/>
  <c r="BA268" i="37"/>
  <c r="AZ268" i="37"/>
  <c r="BA267" i="37"/>
  <c r="AZ267" i="37"/>
  <c r="BA266" i="37"/>
  <c r="AZ266" i="37"/>
  <c r="BA265" i="37"/>
  <c r="AZ265" i="37"/>
  <c r="BA264" i="37"/>
  <c r="AZ264" i="37"/>
  <c r="BA263" i="37"/>
  <c r="AZ263" i="37"/>
  <c r="BA262" i="37"/>
  <c r="AZ262" i="37"/>
  <c r="BA261" i="37"/>
  <c r="AZ261" i="37"/>
  <c r="BA260" i="37"/>
  <c r="AZ260" i="37"/>
  <c r="BA259" i="37"/>
  <c r="AZ259" i="37"/>
  <c r="BA258" i="37"/>
  <c r="AZ258" i="37"/>
  <c r="BA257" i="37"/>
  <c r="AZ257" i="37"/>
  <c r="BA256" i="37"/>
  <c r="AZ256" i="37"/>
  <c r="BA255" i="37"/>
  <c r="AZ255" i="37"/>
  <c r="BA254" i="37"/>
  <c r="AZ254" i="37"/>
  <c r="BA253" i="37"/>
  <c r="AZ253" i="37"/>
  <c r="BA252" i="37"/>
  <c r="AZ252" i="37"/>
  <c r="BA251" i="37"/>
  <c r="AZ251" i="37"/>
  <c r="BA250" i="37"/>
  <c r="AZ250" i="37"/>
  <c r="BA249" i="37"/>
  <c r="AZ249" i="37"/>
  <c r="BA248" i="37"/>
  <c r="AZ248" i="37"/>
  <c r="BA247" i="37"/>
  <c r="AZ247" i="37"/>
  <c r="BA246" i="37"/>
  <c r="AZ246" i="37"/>
  <c r="BA245" i="37"/>
  <c r="AZ245" i="37"/>
  <c r="BA244" i="37"/>
  <c r="AZ244" i="37"/>
  <c r="BA243" i="37"/>
  <c r="AZ243" i="37"/>
  <c r="BA242" i="37"/>
  <c r="AZ242" i="37"/>
  <c r="BA241" i="37"/>
  <c r="AZ241" i="37"/>
  <c r="BA240" i="37"/>
  <c r="AZ240" i="37"/>
  <c r="BA239" i="37"/>
  <c r="AZ239" i="37"/>
  <c r="BA238" i="37"/>
  <c r="AZ238" i="37"/>
  <c r="BA237" i="37"/>
  <c r="AZ237" i="37"/>
  <c r="BA236" i="37"/>
  <c r="AZ236" i="37"/>
  <c r="BA235" i="37"/>
  <c r="AZ235" i="37"/>
  <c r="BA234" i="37"/>
  <c r="AZ234" i="37"/>
  <c r="BA233" i="37"/>
  <c r="AZ233" i="37"/>
  <c r="BA232" i="37"/>
  <c r="AZ232" i="37"/>
  <c r="BA231" i="37"/>
  <c r="AZ231" i="37"/>
  <c r="BA230" i="37"/>
  <c r="AZ230" i="37"/>
  <c r="BA229" i="37"/>
  <c r="AZ229" i="37"/>
  <c r="BA228" i="37"/>
  <c r="AZ228" i="37"/>
  <c r="BA227" i="37"/>
  <c r="AZ227" i="37"/>
  <c r="BA226" i="37"/>
  <c r="AZ226" i="37"/>
  <c r="BA225" i="37"/>
  <c r="AZ225" i="37"/>
  <c r="BA224" i="37"/>
  <c r="AZ224" i="37"/>
  <c r="BA223" i="37"/>
  <c r="AZ223" i="37"/>
  <c r="BA222" i="37"/>
  <c r="AZ222" i="37"/>
  <c r="BA221" i="37"/>
  <c r="AZ221" i="37"/>
  <c r="BA220" i="37"/>
  <c r="AZ220" i="37"/>
  <c r="BA219" i="37"/>
  <c r="AZ219" i="37"/>
  <c r="BA218" i="37"/>
  <c r="AZ218" i="37"/>
  <c r="BA217" i="37"/>
  <c r="AZ217" i="37"/>
  <c r="BA216" i="37"/>
  <c r="AZ216" i="37"/>
  <c r="BA215" i="37"/>
  <c r="AZ215" i="37"/>
  <c r="BA214" i="37"/>
  <c r="AZ214" i="37"/>
  <c r="BA213" i="37"/>
  <c r="AZ213" i="37"/>
  <c r="BA212" i="37"/>
  <c r="AZ212" i="37"/>
  <c r="BA211" i="37"/>
  <c r="AZ211" i="37"/>
  <c r="BA210" i="37"/>
  <c r="AZ210" i="37"/>
  <c r="BA209" i="37"/>
  <c r="AZ209" i="37"/>
  <c r="BA208" i="37"/>
  <c r="AZ208" i="37"/>
  <c r="BA207" i="37"/>
  <c r="AZ207" i="37"/>
  <c r="BA206" i="37"/>
  <c r="AZ206" i="37"/>
  <c r="BA205" i="37"/>
  <c r="AZ205" i="37"/>
  <c r="BA204" i="37"/>
  <c r="AZ204" i="37"/>
  <c r="BA203" i="37"/>
  <c r="AZ203" i="37"/>
  <c r="BA202" i="37"/>
  <c r="AZ202" i="37"/>
  <c r="BA201" i="37"/>
  <c r="AZ201" i="37"/>
  <c r="BA200" i="37"/>
  <c r="AZ200" i="37"/>
  <c r="BA199" i="37"/>
  <c r="AZ199" i="37"/>
  <c r="BA198" i="37"/>
  <c r="AZ198" i="37"/>
  <c r="BA197" i="37"/>
  <c r="AZ197" i="37"/>
  <c r="BA196" i="37"/>
  <c r="AZ196" i="37"/>
  <c r="BA195" i="37"/>
  <c r="AZ195" i="37"/>
  <c r="BA194" i="37"/>
  <c r="AZ194" i="37"/>
  <c r="BA193" i="37"/>
  <c r="AZ193" i="37"/>
  <c r="BA192" i="37"/>
  <c r="AZ192" i="37"/>
  <c r="BA191" i="37"/>
  <c r="AZ191" i="37"/>
  <c r="BA190" i="37"/>
  <c r="AZ190" i="37"/>
  <c r="BA189" i="37"/>
  <c r="AZ189" i="37"/>
  <c r="BA188" i="37"/>
  <c r="AZ188" i="37"/>
  <c r="BA187" i="37"/>
  <c r="AZ187" i="37"/>
  <c r="BA186" i="37"/>
  <c r="AZ186" i="37"/>
  <c r="BA185" i="37"/>
  <c r="AZ185" i="37"/>
  <c r="BA184" i="37"/>
  <c r="AZ184" i="37"/>
  <c r="BA183" i="37"/>
  <c r="AZ183" i="37"/>
  <c r="BA182" i="37"/>
  <c r="AZ182" i="37"/>
  <c r="BA181" i="37"/>
  <c r="AZ181" i="37"/>
  <c r="BA180" i="37"/>
  <c r="AZ180" i="37"/>
  <c r="BA179" i="37"/>
  <c r="AZ179" i="37"/>
  <c r="BA178" i="37"/>
  <c r="AZ178" i="37"/>
  <c r="BA177" i="37"/>
  <c r="AZ177" i="37"/>
  <c r="BA176" i="37"/>
  <c r="AZ176" i="37"/>
  <c r="BA175" i="37"/>
  <c r="AZ175" i="37"/>
  <c r="BA174" i="37"/>
  <c r="AZ174" i="37"/>
  <c r="BA173" i="37"/>
  <c r="AZ173" i="37"/>
  <c r="BA172" i="37"/>
  <c r="AZ172" i="37"/>
  <c r="BA171" i="37"/>
  <c r="AZ171" i="37"/>
  <c r="BA170" i="37"/>
  <c r="AZ170" i="37"/>
  <c r="BA169" i="37"/>
  <c r="AZ169" i="37"/>
  <c r="BA168" i="37"/>
  <c r="AZ168" i="37"/>
  <c r="BA167" i="37"/>
  <c r="AZ167" i="37"/>
  <c r="BA166" i="37"/>
  <c r="AZ166" i="37"/>
  <c r="BA165" i="37"/>
  <c r="AZ165" i="37"/>
  <c r="BA164" i="37"/>
  <c r="AZ164" i="37"/>
  <c r="BA163" i="37"/>
  <c r="AZ163" i="37"/>
  <c r="BA162" i="37"/>
  <c r="AZ162" i="37"/>
  <c r="BA161" i="37"/>
  <c r="AZ161" i="37"/>
  <c r="BA160" i="37"/>
  <c r="AZ160" i="37"/>
  <c r="BA159" i="37"/>
  <c r="AZ159" i="37"/>
  <c r="BA158" i="37"/>
  <c r="AZ158" i="37"/>
  <c r="BA157" i="37"/>
  <c r="AZ157" i="37"/>
  <c r="BA156" i="37"/>
  <c r="AZ156" i="37"/>
  <c r="BA155" i="37"/>
  <c r="AZ155" i="37"/>
  <c r="BA154" i="37"/>
  <c r="AZ154" i="37"/>
  <c r="BA153" i="37"/>
  <c r="AZ153" i="37"/>
  <c r="BA152" i="37"/>
  <c r="AZ152" i="37"/>
  <c r="BA151" i="37"/>
  <c r="AZ151" i="37"/>
  <c r="BA150" i="37"/>
  <c r="AZ150" i="37"/>
  <c r="BA149" i="37"/>
  <c r="AZ149" i="37"/>
  <c r="BA148" i="37"/>
  <c r="AZ148" i="37"/>
  <c r="BA147" i="37"/>
  <c r="AZ147" i="37"/>
  <c r="BA146" i="37"/>
  <c r="AZ146" i="37"/>
  <c r="BA145" i="37"/>
  <c r="AZ145" i="37"/>
  <c r="BA144" i="37"/>
  <c r="AZ144" i="37"/>
  <c r="BA143" i="37"/>
  <c r="AZ143" i="37"/>
  <c r="BA142" i="37"/>
  <c r="AZ142" i="37"/>
  <c r="BA141" i="37"/>
  <c r="AZ141" i="37"/>
  <c r="BA140" i="37"/>
  <c r="AZ140" i="37"/>
  <c r="BA139" i="37"/>
  <c r="AZ139" i="37"/>
  <c r="BA138" i="37"/>
  <c r="AZ138" i="37"/>
  <c r="BA137" i="37"/>
  <c r="AZ137" i="37"/>
  <c r="BA136" i="37"/>
  <c r="AZ136" i="37"/>
  <c r="BA135" i="37"/>
  <c r="AZ135" i="37"/>
  <c r="BA134" i="37"/>
  <c r="AZ134" i="37"/>
  <c r="BA133" i="37"/>
  <c r="AZ133" i="37"/>
  <c r="BA132" i="37"/>
  <c r="AZ132" i="37"/>
  <c r="BA131" i="37"/>
  <c r="AZ131" i="37"/>
  <c r="BA130" i="37"/>
  <c r="AZ130" i="37"/>
  <c r="BA129" i="37"/>
  <c r="AZ129" i="37"/>
  <c r="BA128" i="37"/>
  <c r="AZ128" i="37"/>
  <c r="BA127" i="37"/>
  <c r="AZ127" i="37"/>
  <c r="BA126" i="37"/>
  <c r="AZ126" i="37"/>
  <c r="BA125" i="37"/>
  <c r="AZ125" i="37"/>
  <c r="BA124" i="37"/>
  <c r="AZ124" i="37"/>
  <c r="BA123" i="37"/>
  <c r="AZ123" i="37"/>
  <c r="BA122" i="37"/>
  <c r="AZ122" i="37"/>
  <c r="BA121" i="37"/>
  <c r="AZ121" i="37"/>
  <c r="BA120" i="37"/>
  <c r="AZ120" i="37"/>
  <c r="BA119" i="37"/>
  <c r="AZ119" i="37"/>
  <c r="BA118" i="37"/>
  <c r="AZ118" i="37"/>
  <c r="BA117" i="37"/>
  <c r="AZ117" i="37"/>
  <c r="BA116" i="37"/>
  <c r="AZ116" i="37"/>
  <c r="BA115" i="37"/>
  <c r="AZ115" i="37"/>
  <c r="BA114" i="37"/>
  <c r="AZ114" i="37"/>
  <c r="BA113" i="37"/>
  <c r="AZ113" i="37"/>
  <c r="BA112" i="37"/>
  <c r="AZ112" i="37"/>
  <c r="BA111" i="37"/>
  <c r="AZ111" i="37"/>
  <c r="BA110" i="37"/>
  <c r="AZ110" i="37"/>
  <c r="BA109" i="37"/>
  <c r="AZ109" i="37"/>
  <c r="BA108" i="37"/>
  <c r="AZ108" i="37"/>
  <c r="BA107" i="37"/>
  <c r="AZ107" i="37"/>
  <c r="BA106" i="37"/>
  <c r="AZ106" i="37"/>
  <c r="BA105" i="37"/>
  <c r="AZ105" i="37"/>
  <c r="BA104" i="37"/>
  <c r="AZ104" i="37"/>
  <c r="BA103" i="37"/>
  <c r="AZ103" i="37"/>
  <c r="BA102" i="37"/>
  <c r="AZ102" i="37"/>
  <c r="BA101" i="37"/>
  <c r="AZ101" i="37"/>
  <c r="BA100" i="37"/>
  <c r="AZ100" i="37"/>
  <c r="BA99" i="37"/>
  <c r="AZ99" i="37"/>
  <c r="BA98" i="37"/>
  <c r="AZ98" i="37"/>
  <c r="BA97" i="37"/>
  <c r="AZ97" i="37"/>
  <c r="BA96" i="37"/>
  <c r="AZ96" i="37"/>
  <c r="BA95" i="37"/>
  <c r="AZ95" i="37"/>
  <c r="BA94" i="37"/>
  <c r="AZ94" i="37"/>
  <c r="BA93" i="37"/>
  <c r="AZ93" i="37"/>
  <c r="BA92" i="37"/>
  <c r="AZ92" i="37"/>
  <c r="BA91" i="37"/>
  <c r="AZ91" i="37"/>
  <c r="BA90" i="37"/>
  <c r="AZ90" i="37"/>
  <c r="BA89" i="37"/>
  <c r="AZ89" i="37"/>
  <c r="BA88" i="37"/>
  <c r="AZ88" i="37"/>
  <c r="BA87" i="37"/>
  <c r="AZ87" i="37"/>
  <c r="BA86" i="37"/>
  <c r="AZ86" i="37"/>
  <c r="BA85" i="37"/>
  <c r="AZ85" i="37"/>
  <c r="BA84" i="37"/>
  <c r="AZ84" i="37"/>
  <c r="BA83" i="37"/>
  <c r="AZ83" i="37"/>
  <c r="BA82" i="37"/>
  <c r="AZ82" i="37"/>
  <c r="BA81" i="37"/>
  <c r="AZ81" i="37"/>
  <c r="BA80" i="37"/>
  <c r="AZ80" i="37"/>
  <c r="BA79" i="37"/>
  <c r="AZ79" i="37"/>
  <c r="BA78" i="37"/>
  <c r="AZ78" i="37"/>
  <c r="BA77" i="37"/>
  <c r="AZ77" i="37"/>
  <c r="BA76" i="37"/>
  <c r="AZ76" i="37"/>
  <c r="BA75" i="37"/>
  <c r="AZ75" i="37"/>
  <c r="BA74" i="37"/>
  <c r="AZ74" i="37"/>
  <c r="BA73" i="37"/>
  <c r="AZ73" i="37"/>
  <c r="BA72" i="37"/>
  <c r="AZ72" i="37"/>
  <c r="BA71" i="37"/>
  <c r="AZ71" i="37"/>
  <c r="BA70" i="37"/>
  <c r="AZ70" i="37"/>
  <c r="BA69" i="37"/>
  <c r="AZ69" i="37"/>
  <c r="BA68" i="37"/>
  <c r="AZ68" i="37"/>
  <c r="BA67" i="37"/>
  <c r="AZ67" i="37"/>
  <c r="BA66" i="37"/>
  <c r="AZ66" i="37"/>
  <c r="BA65" i="37"/>
  <c r="AZ65" i="37"/>
  <c r="BA64" i="37"/>
  <c r="AZ64" i="37"/>
  <c r="BA63" i="37"/>
  <c r="AZ63" i="37"/>
  <c r="BA62" i="37"/>
  <c r="AZ62" i="37"/>
  <c r="BA61" i="37"/>
  <c r="AZ61" i="37"/>
  <c r="BA60" i="37"/>
  <c r="AZ60" i="37"/>
  <c r="BA59" i="37"/>
  <c r="AZ59" i="37"/>
  <c r="BA58" i="37"/>
  <c r="AZ58" i="37"/>
  <c r="BA57" i="37"/>
  <c r="AZ57" i="37"/>
  <c r="BA56" i="37"/>
  <c r="AZ56" i="37"/>
  <c r="BA55" i="37"/>
  <c r="AZ55" i="37"/>
  <c r="BA54" i="37"/>
  <c r="AZ54" i="37"/>
  <c r="BA53" i="37"/>
  <c r="AZ53" i="37"/>
  <c r="BA52" i="37"/>
  <c r="AZ52" i="37"/>
  <c r="BA51" i="37"/>
  <c r="AZ51" i="37"/>
  <c r="BA50" i="37"/>
  <c r="AZ50" i="37"/>
  <c r="BA49" i="37"/>
  <c r="AZ49" i="37"/>
  <c r="BA48" i="37"/>
  <c r="AZ48" i="37"/>
  <c r="BA47" i="37"/>
  <c r="AZ47" i="37"/>
  <c r="BA46" i="37"/>
  <c r="AZ46" i="37"/>
  <c r="BA45" i="37"/>
  <c r="AZ45" i="37"/>
  <c r="BA44" i="37"/>
  <c r="AZ44" i="37"/>
  <c r="BA43" i="37"/>
  <c r="AZ43" i="37"/>
  <c r="BA42" i="37"/>
  <c r="AZ42" i="37"/>
  <c r="BA41" i="37"/>
  <c r="AZ41" i="37"/>
  <c r="BA40" i="37"/>
  <c r="AZ40" i="37"/>
  <c r="BA39" i="37"/>
  <c r="AZ39" i="37"/>
  <c r="BA38" i="37"/>
  <c r="AZ38" i="37"/>
  <c r="BA37" i="37"/>
  <c r="AZ37" i="37"/>
  <c r="BA36" i="37"/>
  <c r="AZ36" i="37"/>
  <c r="BA35" i="37"/>
  <c r="AZ35" i="37"/>
  <c r="BA34" i="37"/>
  <c r="AZ34" i="37"/>
  <c r="BA33" i="37"/>
  <c r="AZ33" i="37"/>
  <c r="BA32" i="37"/>
  <c r="AZ32" i="37"/>
  <c r="BA31" i="37"/>
  <c r="AZ31" i="37"/>
  <c r="BA30" i="37"/>
  <c r="AZ30" i="37"/>
  <c r="BA29" i="37"/>
  <c r="AZ29" i="37"/>
  <c r="BA28" i="37"/>
  <c r="AZ28" i="37"/>
  <c r="BA27" i="37"/>
  <c r="AZ27" i="37"/>
  <c r="BA26" i="37"/>
  <c r="AZ26" i="37"/>
  <c r="BA25" i="37"/>
  <c r="AZ25" i="37"/>
  <c r="BA24" i="37"/>
  <c r="AZ24" i="37"/>
  <c r="BA23" i="37"/>
  <c r="AZ23" i="37"/>
  <c r="BA22" i="37"/>
  <c r="AZ22" i="37"/>
  <c r="BA21" i="37"/>
  <c r="AZ21" i="37"/>
  <c r="BA20" i="37"/>
  <c r="AZ20" i="37"/>
  <c r="BA19" i="37"/>
  <c r="AZ19" i="37"/>
  <c r="BA18" i="37"/>
  <c r="AZ18" i="37"/>
  <c r="BA17" i="37"/>
  <c r="AZ17" i="37"/>
  <c r="AP88" i="23" l="1"/>
  <c r="AP89" i="23"/>
  <c r="AP91" i="23"/>
  <c r="AP92" i="23"/>
  <c r="A2" i="23"/>
  <c r="A1" i="23"/>
  <c r="Y148" i="23" l="1"/>
  <c r="T148" i="23"/>
  <c r="Y147" i="23"/>
  <c r="Y160" i="23"/>
  <c r="T147" i="23"/>
  <c r="T160" i="23"/>
  <c r="Y162" i="23"/>
  <c r="Y161" i="23"/>
  <c r="Y164" i="23" l="1"/>
  <c r="Y151" i="23"/>
  <c r="A64" i="23"/>
  <c r="M56" i="23"/>
  <c r="M55" i="23"/>
  <c r="M54" i="23"/>
  <c r="M53" i="23"/>
  <c r="M52" i="23"/>
  <c r="M51" i="23"/>
  <c r="M50" i="23"/>
  <c r="M49" i="23"/>
  <c r="M48" i="23"/>
  <c r="M47" i="23"/>
  <c r="M46" i="23"/>
  <c r="M45" i="23"/>
  <c r="M44" i="23"/>
  <c r="M43" i="23"/>
  <c r="M42" i="23"/>
  <c r="M41" i="23"/>
  <c r="M40" i="23"/>
  <c r="M39" i="23"/>
  <c r="M38" i="23"/>
  <c r="M37" i="23"/>
  <c r="M36" i="23"/>
  <c r="M35" i="23"/>
  <c r="M34" i="23"/>
  <c r="M33" i="23"/>
  <c r="M32" i="23"/>
  <c r="M31" i="23"/>
  <c r="M30" i="23"/>
  <c r="A57" i="23"/>
  <c r="A56" i="23"/>
  <c r="A55" i="23"/>
  <c r="A54" i="23"/>
  <c r="A53" i="23"/>
  <c r="A52" i="23"/>
  <c r="A51" i="23"/>
  <c r="A50" i="23"/>
  <c r="A49" i="23"/>
  <c r="A48" i="23"/>
  <c r="A47" i="23"/>
  <c r="A46" i="23"/>
  <c r="A45" i="23"/>
  <c r="A44" i="23"/>
  <c r="A43" i="23"/>
  <c r="A42" i="23"/>
  <c r="A41" i="23"/>
  <c r="A40" i="23"/>
  <c r="A39" i="23"/>
  <c r="A38" i="23"/>
  <c r="A37" i="23"/>
  <c r="A36" i="23"/>
  <c r="A35" i="23"/>
  <c r="A34" i="23"/>
  <c r="A33" i="23"/>
  <c r="A32" i="23"/>
  <c r="A31" i="23"/>
  <c r="A30" i="23"/>
  <c r="BL77" i="23" l="1"/>
  <c r="BL76" i="23"/>
  <c r="AU76" i="23"/>
  <c r="BK91" i="23"/>
  <c r="BK90" i="23"/>
  <c r="A14" i="46"/>
  <c r="AV47" i="23" l="1"/>
  <c r="J5" i="23"/>
  <c r="J7" i="23"/>
  <c r="J6" i="23"/>
  <c r="AV44" i="23"/>
  <c r="A3" i="23" l="1"/>
  <c r="A4" i="43"/>
  <c r="A4" i="46"/>
  <c r="A4" i="45"/>
  <c r="A4" i="37"/>
  <c r="A2" i="6"/>
  <c r="A1" i="6"/>
  <c r="E6" i="37"/>
  <c r="Q20" i="6"/>
  <c r="I18" i="6"/>
  <c r="I17" i="6"/>
  <c r="I16" i="6"/>
  <c r="AA20" i="6"/>
  <c r="AA19" i="6"/>
  <c r="AA18" i="6"/>
  <c r="AA17" i="6"/>
  <c r="AA16" i="6"/>
  <c r="E7" i="37" l="1"/>
  <c r="H10" i="37"/>
  <c r="T162" i="23" l="1"/>
  <c r="T161" i="23"/>
  <c r="S137" i="23"/>
  <c r="S136" i="23"/>
  <c r="A73" i="43"/>
  <c r="A72" i="43"/>
  <c r="A71" i="43"/>
  <c r="A70" i="43"/>
  <c r="A69" i="43"/>
  <c r="A68" i="43"/>
  <c r="A67" i="43"/>
  <c r="A66" i="43"/>
  <c r="A65" i="43"/>
  <c r="A64" i="43"/>
  <c r="A63" i="43"/>
  <c r="A62" i="43"/>
  <c r="A61" i="43"/>
  <c r="A60" i="43"/>
  <c r="A59" i="43"/>
  <c r="A58" i="43"/>
  <c r="A57" i="43"/>
  <c r="A56" i="43"/>
  <c r="A55" i="43"/>
  <c r="A54" i="43"/>
  <c r="A53" i="43"/>
  <c r="A52" i="43"/>
  <c r="A51" i="43"/>
  <c r="A50" i="43"/>
  <c r="A49" i="43"/>
  <c r="A48" i="43"/>
  <c r="A47" i="43"/>
  <c r="A46" i="43"/>
  <c r="A45" i="43"/>
  <c r="A44" i="43"/>
  <c r="A43" i="43"/>
  <c r="A42" i="43"/>
  <c r="A41" i="43"/>
  <c r="A40" i="43"/>
  <c r="A39" i="43"/>
  <c r="A38" i="43"/>
  <c r="A37" i="43"/>
  <c r="A36" i="43"/>
  <c r="A35" i="43"/>
  <c r="A34" i="43"/>
  <c r="A33" i="43"/>
  <c r="A32" i="43"/>
  <c r="A31" i="43"/>
  <c r="A30" i="43"/>
  <c r="A29" i="43"/>
  <c r="A28" i="43"/>
  <c r="A27" i="43"/>
  <c r="A26" i="43"/>
  <c r="A25" i="43"/>
  <c r="A24" i="43"/>
  <c r="A23" i="43"/>
  <c r="A22" i="43"/>
  <c r="A21" i="43"/>
  <c r="A20" i="43"/>
  <c r="A19" i="43"/>
  <c r="A18" i="43"/>
  <c r="A17" i="43"/>
  <c r="A16" i="43"/>
  <c r="A15" i="43"/>
  <c r="A14" i="43"/>
  <c r="BK88" i="23"/>
  <c r="BK87" i="23"/>
  <c r="AU79" i="23"/>
  <c r="AP90" i="23"/>
  <c r="S73" i="23"/>
  <c r="AU84" i="23"/>
  <c r="AU83" i="23"/>
  <c r="AU82" i="23"/>
  <c r="AU81" i="23"/>
  <c r="AU80" i="23"/>
  <c r="AU78" i="23"/>
  <c r="AU77" i="23"/>
  <c r="S64" i="23"/>
  <c r="E6" i="45"/>
  <c r="E7" i="45"/>
  <c r="E8" i="45"/>
  <c r="AE121" i="23"/>
  <c r="AE120" i="23"/>
  <c r="AE119" i="23"/>
  <c r="AE118" i="23"/>
  <c r="AE117" i="23"/>
  <c r="AE116" i="23"/>
  <c r="AE115" i="23"/>
  <c r="S112" i="23"/>
  <c r="G64" i="23"/>
  <c r="AU122" i="23" l="1"/>
  <c r="AP93" i="23"/>
  <c r="AP94" i="23" s="1"/>
  <c r="T164" i="23"/>
  <c r="BK89" i="23"/>
  <c r="AI130" i="23"/>
  <c r="T151" i="23"/>
  <c r="AE122" i="23"/>
  <c r="S90" i="23" l="1"/>
  <c r="S89" i="23"/>
  <c r="S88" i="23"/>
  <c r="S87" i="23"/>
  <c r="S86" i="23"/>
  <c r="S85" i="23"/>
  <c r="S84" i="23"/>
  <c r="S82" i="23"/>
  <c r="S81" i="23"/>
  <c r="S80" i="23"/>
  <c r="S79" i="23"/>
  <c r="S78" i="23"/>
  <c r="S77" i="23"/>
  <c r="S76" i="23"/>
  <c r="S75" i="23"/>
  <c r="S74" i="23"/>
  <c r="S72" i="23"/>
  <c r="S71" i="23"/>
  <c r="S70" i="23"/>
  <c r="S69" i="23"/>
  <c r="S67" i="23"/>
  <c r="S66" i="23"/>
  <c r="S68" i="23"/>
  <c r="S65" i="23"/>
  <c r="G91" i="23"/>
  <c r="G90" i="23"/>
  <c r="G89" i="23"/>
  <c r="G88" i="23"/>
  <c r="G87" i="23"/>
  <c r="G86" i="23"/>
  <c r="G85" i="23"/>
  <c r="G84" i="23"/>
  <c r="G83" i="23"/>
  <c r="G82" i="23"/>
  <c r="G81" i="23"/>
  <c r="G80" i="23"/>
  <c r="G79" i="23"/>
  <c r="G77" i="23"/>
  <c r="G76" i="23"/>
  <c r="G75" i="23"/>
  <c r="G74" i="23"/>
  <c r="G73" i="23"/>
  <c r="G72" i="23"/>
  <c r="G71" i="23"/>
  <c r="G70" i="23"/>
  <c r="G69" i="23"/>
  <c r="G68" i="23"/>
  <c r="G67" i="23"/>
  <c r="G66" i="23"/>
  <c r="G65" i="23"/>
  <c r="S91" i="23" l="1"/>
  <c r="G92" i="23"/>
  <c r="G11" i="46" l="1"/>
  <c r="G10" i="46"/>
  <c r="G9" i="46"/>
  <c r="D9" i="46"/>
  <c r="G8" i="46"/>
  <c r="D8" i="46"/>
  <c r="G7" i="46"/>
  <c r="D7" i="46"/>
  <c r="S56" i="23" l="1"/>
  <c r="S55" i="23"/>
  <c r="S54" i="23"/>
  <c r="S53" i="23"/>
  <c r="S52" i="23"/>
  <c r="S51" i="23"/>
  <c r="S50" i="23"/>
  <c r="S47" i="23"/>
  <c r="S46" i="23"/>
  <c r="S45" i="23"/>
  <c r="S44" i="23"/>
  <c r="S43" i="23"/>
  <c r="S42" i="23"/>
  <c r="S41" i="23"/>
  <c r="S40" i="23"/>
  <c r="S39" i="23"/>
  <c r="S38" i="23"/>
  <c r="S37" i="23"/>
  <c r="S36" i="23"/>
  <c r="S35" i="23"/>
  <c r="S34" i="23"/>
  <c r="S33" i="23"/>
  <c r="S32" i="23"/>
  <c r="S31" i="23"/>
  <c r="S30" i="23"/>
  <c r="G57" i="23"/>
  <c r="G56" i="23"/>
  <c r="G55" i="23"/>
  <c r="G54" i="23"/>
  <c r="G53" i="23"/>
  <c r="G52" i="23"/>
  <c r="G51" i="23"/>
  <c r="G50" i="23"/>
  <c r="G49" i="23"/>
  <c r="G48" i="23"/>
  <c r="G47" i="23"/>
  <c r="G46" i="23"/>
  <c r="G45" i="23"/>
  <c r="G43" i="23"/>
  <c r="G42" i="23"/>
  <c r="G41" i="23"/>
  <c r="G40" i="23"/>
  <c r="G39" i="23"/>
  <c r="G38" i="23"/>
  <c r="G37" i="23"/>
  <c r="G36" i="23"/>
  <c r="G35" i="23"/>
  <c r="G34" i="23"/>
  <c r="G33" i="23"/>
  <c r="G32" i="23"/>
  <c r="G31" i="23"/>
  <c r="G30" i="23"/>
  <c r="G58" i="23" l="1"/>
  <c r="S57" i="23"/>
  <c r="S92" i="23"/>
  <c r="AV56" i="23" l="1"/>
  <c r="AV55" i="23"/>
  <c r="BA16" i="37"/>
  <c r="BA15" i="37"/>
  <c r="T24" i="23" s="1"/>
  <c r="Y24" i="23" s="1"/>
  <c r="AZ15" i="37"/>
  <c r="AZ16" i="37"/>
  <c r="AV51" i="23"/>
  <c r="AV50" i="23"/>
  <c r="AV49" i="23"/>
  <c r="AV48" i="23"/>
  <c r="AV52" i="23"/>
  <c r="BL78" i="23" l="1"/>
  <c r="BL80" i="23" s="1"/>
  <c r="T23" i="23"/>
  <c r="Y23" i="23" s="1"/>
  <c r="AV57" i="23"/>
  <c r="AH5" i="23" l="1"/>
  <c r="G127" i="23" l="1"/>
  <c r="S138" i="23"/>
  <c r="S135" i="23"/>
  <c r="S134" i="23"/>
  <c r="S133" i="23"/>
  <c r="S132" i="23"/>
  <c r="S130" i="23"/>
  <c r="S129" i="23"/>
  <c r="S128" i="23"/>
  <c r="S127" i="23"/>
  <c r="S126" i="23"/>
  <c r="S125" i="23"/>
  <c r="S124" i="23"/>
  <c r="S123" i="23"/>
  <c r="S122" i="23"/>
  <c r="S121" i="23"/>
  <c r="S120" i="23"/>
  <c r="S119" i="23"/>
  <c r="S118" i="23"/>
  <c r="S117" i="23"/>
  <c r="S116" i="23"/>
  <c r="S115" i="23"/>
  <c r="S114" i="23"/>
  <c r="S113" i="23"/>
  <c r="G139" i="23"/>
  <c r="G138" i="23"/>
  <c r="G137" i="23"/>
  <c r="G136" i="23"/>
  <c r="G135" i="23"/>
  <c r="G134" i="23"/>
  <c r="G133" i="23"/>
  <c r="G132" i="23"/>
  <c r="G131" i="23"/>
  <c r="G130" i="23"/>
  <c r="G129" i="23"/>
  <c r="G128" i="23"/>
  <c r="G125" i="23"/>
  <c r="G124" i="23"/>
  <c r="G123" i="23"/>
  <c r="G122" i="23"/>
  <c r="G121" i="23"/>
  <c r="G120" i="23"/>
  <c r="G119" i="23"/>
  <c r="G118" i="23"/>
  <c r="G117" i="23"/>
  <c r="G116" i="23"/>
  <c r="G115" i="23"/>
  <c r="G114" i="23"/>
  <c r="G113" i="23"/>
  <c r="G112" i="23"/>
  <c r="S139" i="23" l="1"/>
  <c r="G140" i="23"/>
  <c r="S140" i="23" l="1"/>
  <c r="A14" i="45" l="1"/>
  <c r="M10" i="45"/>
  <c r="M9" i="45"/>
  <c r="M8" i="45"/>
  <c r="M7" i="45"/>
  <c r="M6" i="45"/>
  <c r="AJ11" i="43" l="1"/>
  <c r="W11" i="43"/>
  <c r="AJ10" i="43"/>
  <c r="AJ9" i="43"/>
  <c r="J9" i="43"/>
  <c r="AJ8" i="43"/>
  <c r="J8" i="43"/>
  <c r="AJ7" i="43"/>
  <c r="J7" i="43"/>
  <c r="A15" i="37" l="1"/>
  <c r="K10" i="37" l="1"/>
  <c r="K9" i="37"/>
  <c r="K8" i="37"/>
  <c r="K7" i="37"/>
  <c r="K6" i="37"/>
  <c r="AH6" i="23" l="1"/>
  <c r="AH8" i="23" l="1"/>
  <c r="AH7" i="23"/>
  <c r="S58" i="23"/>
  <c r="BH70" i="23"/>
  <c r="BJ68" i="23"/>
  <c r="CA66" i="23"/>
  <c r="CA69" i="23"/>
  <c r="BY70" i="23"/>
  <c r="BD70" i="23"/>
  <c r="BW67" i="23"/>
  <c r="AV37" i="23"/>
  <c r="BY35" i="23"/>
  <c r="CA33" i="23"/>
  <c r="BF33" i="23"/>
  <c r="BF35" i="23"/>
  <c r="BJ70" i="23"/>
  <c r="AT66" i="23"/>
  <c r="AP69" i="23"/>
  <c r="BL65" i="23"/>
  <c r="AT70" i="23"/>
  <c r="BH68" i="23"/>
  <c r="BY36" i="23"/>
  <c r="BJ34" i="23"/>
  <c r="CA36" i="23"/>
  <c r="BH67" i="23"/>
  <c r="AZ65" i="23"/>
  <c r="BY66" i="23"/>
  <c r="BJ35" i="23"/>
  <c r="BD67" i="23"/>
  <c r="AT36" i="23"/>
  <c r="AX66" i="23"/>
  <c r="BD31" i="23"/>
  <c r="BD34" i="23"/>
  <c r="AZ33" i="23"/>
  <c r="BD71" i="23"/>
  <c r="AZ66" i="23"/>
  <c r="CC67" i="23"/>
  <c r="BW37" i="23"/>
  <c r="CA67" i="23"/>
  <c r="AX68" i="23"/>
  <c r="AV35" i="23"/>
  <c r="AT31" i="23"/>
  <c r="AP33" i="23"/>
  <c r="CA37" i="23"/>
  <c r="AX31" i="23"/>
  <c r="CC32" i="23"/>
  <c r="AR33" i="23"/>
  <c r="BF37" i="23"/>
  <c r="AZ31" i="23"/>
  <c r="AX69" i="23"/>
  <c r="BL71" i="23"/>
  <c r="BH37" i="23"/>
  <c r="BL35" i="23"/>
  <c r="CC34" i="23"/>
  <c r="BB32" i="23"/>
  <c r="BB70" i="23"/>
  <c r="BH34" i="23"/>
  <c r="BD36" i="23"/>
  <c r="AP34" i="23"/>
  <c r="AZ34" i="23"/>
  <c r="CA34" i="23"/>
  <c r="BJ32" i="23"/>
  <c r="BW68" i="23"/>
  <c r="BD68" i="23"/>
  <c r="AP66" i="23"/>
  <c r="AR66" i="23"/>
  <c r="BL34" i="23"/>
  <c r="BW66" i="23"/>
  <c r="AT69" i="23"/>
  <c r="BB35" i="23"/>
  <c r="AZ37" i="23"/>
  <c r="BY69" i="23"/>
  <c r="AZ70" i="23"/>
  <c r="AV36" i="23"/>
  <c r="CA31" i="23"/>
  <c r="BJ65" i="23"/>
  <c r="BD33" i="23"/>
  <c r="BD37" i="23"/>
  <c r="BY31" i="23"/>
  <c r="AR68" i="23"/>
  <c r="CC35" i="23"/>
  <c r="BJ66" i="23"/>
  <c r="BL33" i="23"/>
  <c r="BF66" i="23"/>
  <c r="CC65" i="23"/>
  <c r="CC71" i="23"/>
  <c r="AX70" i="23"/>
  <c r="CA35" i="23"/>
  <c r="AZ67" i="23"/>
  <c r="AR67" i="23"/>
  <c r="BW31" i="23"/>
  <c r="AR35" i="23"/>
  <c r="BH33" i="23"/>
  <c r="CC66" i="23"/>
  <c r="BJ67" i="23"/>
  <c r="AP36" i="23"/>
  <c r="AV33" i="23"/>
  <c r="AV32" i="23"/>
  <c r="BH65" i="23"/>
  <c r="BF32" i="23"/>
  <c r="CC69" i="23"/>
  <c r="CA70" i="23"/>
  <c r="AV31" i="23"/>
  <c r="AP67" i="23"/>
  <c r="AV65" i="23"/>
  <c r="AZ71" i="23"/>
  <c r="BH32" i="23"/>
  <c r="BJ36" i="23"/>
  <c r="CC68" i="23"/>
  <c r="AT34" i="23"/>
  <c r="BL69" i="23"/>
  <c r="BW36" i="23"/>
  <c r="BH71" i="23"/>
  <c r="AT67" i="23"/>
  <c r="BJ71" i="23"/>
  <c r="CC70" i="23"/>
  <c r="BY33" i="23"/>
  <c r="AP68" i="23"/>
  <c r="BY37" i="23"/>
  <c r="AT37" i="23"/>
  <c r="AT71" i="23"/>
  <c r="BY68" i="23"/>
  <c r="BY34" i="23"/>
  <c r="AP65" i="23"/>
  <c r="BL67" i="23"/>
  <c r="AT33" i="23"/>
  <c r="BB68" i="23"/>
  <c r="BY65" i="23"/>
  <c r="BF68" i="23"/>
  <c r="BB71" i="23"/>
  <c r="AP32" i="23"/>
  <c r="BD69" i="23"/>
  <c r="BH66" i="23"/>
  <c r="BB66" i="23"/>
  <c r="AZ35" i="23"/>
  <c r="CA65" i="23"/>
  <c r="BD66" i="23"/>
  <c r="BJ33" i="23"/>
  <c r="BF67" i="23"/>
  <c r="BH31" i="23"/>
  <c r="AV68" i="23"/>
  <c r="AR37" i="23"/>
  <c r="BW71" i="23"/>
  <c r="CC37" i="23"/>
  <c r="AV66" i="23"/>
  <c r="BB34" i="23"/>
  <c r="BF69" i="23"/>
  <c r="BW69" i="23"/>
  <c r="AZ68" i="23"/>
  <c r="BW34" i="23"/>
  <c r="BF31" i="23"/>
  <c r="CA32" i="23"/>
  <c r="AR65" i="23"/>
  <c r="CA71" i="23"/>
  <c r="BB33" i="23"/>
  <c r="AX67" i="23"/>
  <c r="BF36" i="23"/>
  <c r="AV70" i="23"/>
  <c r="BY67" i="23"/>
  <c r="AZ32" i="23"/>
  <c r="CC36" i="23"/>
  <c r="AX35" i="23"/>
  <c r="AR32" i="23"/>
  <c r="AX36" i="23"/>
  <c r="CC33" i="23"/>
  <c r="AX34" i="23"/>
  <c r="AT65" i="23"/>
  <c r="AV71" i="23"/>
  <c r="AT35" i="23"/>
  <c r="BF70" i="23"/>
  <c r="AR69" i="23"/>
  <c r="BB36" i="23"/>
  <c r="BD32" i="23"/>
  <c r="BF65" i="23"/>
  <c r="BF34" i="23"/>
  <c r="BL70" i="23"/>
  <c r="BY32" i="23"/>
  <c r="AV34" i="23"/>
  <c r="BH35" i="23"/>
  <c r="AP71" i="23"/>
  <c r="BB67" i="23"/>
  <c r="AP37" i="23"/>
  <c r="AP35" i="23"/>
  <c r="BH36" i="23"/>
  <c r="BB69" i="23"/>
  <c r="AR34" i="23"/>
  <c r="BW35" i="23"/>
  <c r="AX71" i="23"/>
  <c r="AX33" i="23"/>
  <c r="BL37" i="23"/>
  <c r="BH69" i="23"/>
  <c r="AX37" i="23"/>
  <c r="BB37" i="23"/>
  <c r="BL36" i="23"/>
  <c r="BY71" i="23"/>
  <c r="BB31" i="23"/>
  <c r="BF71" i="23"/>
  <c r="AZ69" i="23"/>
  <c r="BD35" i="23"/>
  <c r="BW70" i="23"/>
  <c r="BJ37" i="23"/>
  <c r="AP70" i="23"/>
  <c r="BW32" i="23"/>
  <c r="AZ36" i="23"/>
  <c r="AR70" i="23"/>
  <c r="AT68" i="23"/>
  <c r="CA68" i="23"/>
  <c r="AX32" i="23"/>
  <c r="BW65" i="23"/>
  <c r="AV67" i="23"/>
  <c r="BJ69" i="23"/>
  <c r="BL66" i="23"/>
  <c r="BL68" i="23"/>
  <c r="AT32" i="23"/>
  <c r="AR71" i="23"/>
  <c r="BB65" i="23"/>
  <c r="BD65" i="23"/>
  <c r="AV69" i="23"/>
  <c r="AX65" i="23"/>
  <c r="AR36" i="23"/>
  <c r="BW33" i="23"/>
  <c r="AN70" i="23"/>
  <c r="BB64" i="23"/>
  <c r="BS65" i="23"/>
  <c r="BS36" i="23"/>
  <c r="AN31" i="23"/>
  <c r="BU69" i="23"/>
  <c r="AX30" i="23"/>
  <c r="BU34" i="23"/>
  <c r="BY30" i="23"/>
  <c r="AL68" i="23"/>
  <c r="BU66" i="23"/>
  <c r="AX64" i="23"/>
  <c r="AL35" i="23"/>
  <c r="BU36" i="23"/>
  <c r="AZ30" i="23"/>
  <c r="CC64" i="23"/>
  <c r="BH64" i="23"/>
  <c r="BW30" i="23"/>
  <c r="AV64" i="23"/>
  <c r="BU32" i="23"/>
  <c r="BS68" i="23"/>
  <c r="AT30" i="23"/>
  <c r="BU64" i="23"/>
  <c r="AZ64" i="23"/>
  <c r="AN64" i="23"/>
  <c r="AL70" i="23"/>
  <c r="BJ30" i="23"/>
  <c r="BS66" i="23"/>
  <c r="AL36" i="23"/>
  <c r="BU71" i="23"/>
  <c r="CA64" i="23"/>
  <c r="AL31" i="23"/>
  <c r="AN65" i="23"/>
  <c r="AV30" i="23"/>
  <c r="BD64" i="23"/>
  <c r="AN34" i="23"/>
  <c r="AN66" i="23"/>
  <c r="AL34" i="23"/>
  <c r="BS32" i="23"/>
  <c r="BW64" i="23"/>
  <c r="AR64" i="23"/>
  <c r="AT64" i="23"/>
  <c r="AN36" i="23"/>
  <c r="AL65" i="23"/>
  <c r="AL67" i="23"/>
  <c r="BU65" i="23"/>
  <c r="BS67" i="23"/>
  <c r="BS69" i="23"/>
  <c r="AN68" i="23"/>
  <c r="BY64" i="23"/>
  <c r="BJ64" i="23"/>
  <c r="BB30" i="23"/>
  <c r="AN71" i="23"/>
  <c r="AN30" i="23"/>
  <c r="AL32" i="23"/>
  <c r="BU67" i="23"/>
  <c r="BH30" i="23"/>
  <c r="BS35" i="23"/>
  <c r="AL33" i="23"/>
  <c r="AL71" i="23"/>
  <c r="BF64" i="23"/>
  <c r="AN35" i="23"/>
  <c r="BS70" i="23"/>
  <c r="BS64" i="23"/>
  <c r="BU33" i="23"/>
  <c r="AL64" i="23"/>
  <c r="CC30" i="23"/>
  <c r="BU30" i="23"/>
  <c r="BU35" i="23"/>
  <c r="BS30" i="23"/>
  <c r="BS71" i="23"/>
  <c r="AL30" i="23"/>
  <c r="AP30" i="23"/>
  <c r="BU37" i="23"/>
  <c r="BS37" i="23"/>
  <c r="AN33" i="23"/>
  <c r="CA30" i="23"/>
  <c r="BU68" i="23"/>
  <c r="AN37" i="23"/>
  <c r="AN69" i="23"/>
  <c r="BF30" i="23"/>
  <c r="AP64" i="23"/>
  <c r="BU31" i="23"/>
  <c r="BU70" i="23"/>
  <c r="AL66" i="23"/>
  <c r="AL37" i="23"/>
  <c r="AN67" i="23"/>
  <c r="AN32" i="23"/>
  <c r="BL30" i="23"/>
  <c r="BS31" i="23"/>
  <c r="BL64" i="23"/>
  <c r="AL69" i="23"/>
  <c r="BD30" i="23"/>
  <c r="BS34" i="23"/>
  <c r="BS33" i="23"/>
  <c r="BP33" i="23" l="1"/>
  <c r="BP34" i="23"/>
  <c r="BN33" i="23"/>
  <c r="BN35" i="23"/>
  <c r="BP35" i="23"/>
  <c r="BP32" i="23"/>
  <c r="BP37" i="23"/>
  <c r="BN32" i="23"/>
  <c r="BN37" i="23"/>
  <c r="BN34" i="23"/>
  <c r="BP31" i="23"/>
  <c r="BN36" i="23"/>
  <c r="BN31" i="23"/>
  <c r="BP36" i="23"/>
  <c r="AL38" i="23"/>
  <c r="AN38" i="23"/>
  <c r="CG31" i="23"/>
  <c r="CG70" i="23"/>
  <c r="CG66" i="23"/>
  <c r="CE66" i="23"/>
  <c r="CG68" i="23"/>
  <c r="CE69" i="23"/>
  <c r="CG35" i="23"/>
  <c r="CE36" i="23"/>
  <c r="CE37" i="23"/>
  <c r="CG37" i="23"/>
  <c r="BN67" i="23"/>
  <c r="CE65" i="23"/>
  <c r="BP70" i="23"/>
  <c r="BN66" i="23"/>
  <c r="CG67" i="23"/>
  <c r="CG69" i="23"/>
  <c r="CE35" i="23"/>
  <c r="BP68" i="23"/>
  <c r="CE31" i="23"/>
  <c r="AR72" i="23"/>
  <c r="AP72" i="23"/>
  <c r="AV38" i="23"/>
  <c r="BN70" i="23"/>
  <c r="CE33" i="23"/>
  <c r="BP67" i="23"/>
  <c r="CE34" i="23"/>
  <c r="BN69" i="23"/>
  <c r="AR38" i="23"/>
  <c r="BB38" i="23"/>
  <c r="BY38" i="23"/>
  <c r="CE71" i="23"/>
  <c r="CC72" i="23"/>
  <c r="CG34" i="23"/>
  <c r="CE67" i="23"/>
  <c r="CG65" i="23"/>
  <c r="CG33" i="23"/>
  <c r="BY72" i="23"/>
  <c r="AZ72" i="23"/>
  <c r="BP66" i="23"/>
  <c r="BW72" i="23"/>
  <c r="BP69" i="23"/>
  <c r="BW38" i="23"/>
  <c r="BB72" i="23"/>
  <c r="CC38" i="23"/>
  <c r="BP71" i="23"/>
  <c r="AP38" i="23"/>
  <c r="CE32" i="23"/>
  <c r="CE70" i="23"/>
  <c r="BH38" i="23"/>
  <c r="AZ38" i="23"/>
  <c r="BJ72" i="23"/>
  <c r="CG71" i="23"/>
  <c r="AT72" i="23"/>
  <c r="AX72" i="23"/>
  <c r="CG30" i="23"/>
  <c r="BN71" i="23"/>
  <c r="BP65" i="23"/>
  <c r="CG64" i="23"/>
  <c r="CA72" i="23"/>
  <c r="CA38" i="23"/>
  <c r="CG36" i="23"/>
  <c r="CE30" i="23"/>
  <c r="BS72" i="23"/>
  <c r="CG32" i="23"/>
  <c r="BD38" i="23"/>
  <c r="BF38" i="23"/>
  <c r="BH72" i="23"/>
  <c r="BL38" i="23"/>
  <c r="BL72" i="23"/>
  <c r="BN30" i="23"/>
  <c r="BD72" i="23"/>
  <c r="AX38" i="23"/>
  <c r="AL72" i="23"/>
  <c r="BF72" i="23"/>
  <c r="BJ38" i="23"/>
  <c r="AV72" i="23"/>
  <c r="AT38" i="23"/>
  <c r="BP64" i="23"/>
  <c r="BN65" i="23"/>
  <c r="BN68" i="23"/>
  <c r="BP30" i="23"/>
  <c r="BU38" i="23"/>
  <c r="BS38" i="23"/>
  <c r="CE64" i="23"/>
  <c r="AN72" i="23"/>
  <c r="BU72" i="23"/>
  <c r="BN64" i="23"/>
  <c r="CE68" i="23"/>
  <c r="CG38" i="23" l="1"/>
  <c r="BP72" i="23"/>
  <c r="CG72" i="23"/>
  <c r="BN38" i="23"/>
  <c r="BN72" i="23"/>
  <c r="CE72" i="23"/>
  <c r="CE38" i="23"/>
  <c r="BP38" i="23"/>
  <c r="CE73" i="23" l="1"/>
  <c r="CE39" i="23"/>
  <c r="BN73" i="23"/>
  <c r="BN39" i="23"/>
</calcChain>
</file>

<file path=xl/sharedStrings.xml><?xml version="1.0" encoding="utf-8"?>
<sst xmlns="http://schemas.openxmlformats.org/spreadsheetml/2006/main" count="2018" uniqueCount="804">
  <si>
    <r>
      <t xml:space="preserve">This form is designed to be used for the </t>
    </r>
    <r>
      <rPr>
        <b/>
        <u val="double"/>
        <sz val="20"/>
        <color theme="0"/>
        <rFont val="Calibri"/>
        <family val="2"/>
        <scheme val="minor"/>
      </rPr>
      <t>entire</t>
    </r>
    <r>
      <rPr>
        <b/>
        <sz val="20"/>
        <color theme="0"/>
        <rFont val="Calibri"/>
        <family val="2"/>
        <scheme val="minor"/>
      </rPr>
      <t xml:space="preserve"> fiscal year.                                                                                                                                                                                                                                                                                                                                                                                                                                                                                                                                                                                                                                                   </t>
    </r>
  </si>
  <si>
    <t>Please note:  "Month Being Reported" is from 1st -30th or 31st, except for February which will be the 28th or 29.   The report for the "Month Being Reported" is due by the 25th of the following month. Examples:</t>
  </si>
  <si>
    <t>July 1 - 31</t>
  </si>
  <si>
    <t>due August 25</t>
  </si>
  <si>
    <t>Oct. 1 - 31</t>
  </si>
  <si>
    <t>due Nov. 25</t>
  </si>
  <si>
    <t>Jan. 1- 31</t>
  </si>
  <si>
    <t>due Feb. 25</t>
  </si>
  <si>
    <t>April 1 - 30</t>
  </si>
  <si>
    <t>due May 25</t>
  </si>
  <si>
    <t>August 1 - 31</t>
  </si>
  <si>
    <t>due Sept. 25</t>
  </si>
  <si>
    <t>Nov. 1 - 30</t>
  </si>
  <si>
    <t>due Dec. 25</t>
  </si>
  <si>
    <t>Feb. 1-28 or 29</t>
  </si>
  <si>
    <t>due March 25</t>
  </si>
  <si>
    <t>May 1 - 31</t>
  </si>
  <si>
    <t>due June 25</t>
  </si>
  <si>
    <t>Sept 1 - 30</t>
  </si>
  <si>
    <t>due Oct. 25</t>
  </si>
  <si>
    <t>Dec. 1 - 31</t>
  </si>
  <si>
    <t>due Jan. 25</t>
  </si>
  <si>
    <t>March 1 - 31</t>
  </si>
  <si>
    <t>due April 25</t>
  </si>
  <si>
    <t>June 1-30</t>
  </si>
  <si>
    <t>due July 25</t>
  </si>
  <si>
    <r>
      <t xml:space="preserve">Program reports need to be submitted electronically, via e-mail to DHHRBBHReporting@wv.gov within 25 calendar days of the end of each month - </t>
    </r>
    <r>
      <rPr>
        <b/>
        <u val="double"/>
        <sz val="14"/>
        <color theme="0"/>
        <rFont val="Calibri"/>
        <family val="2"/>
      </rPr>
      <t>Include name of Grantee and Program Name in the subject line of the e-mail</t>
    </r>
  </si>
  <si>
    <r>
      <rPr>
        <b/>
        <sz val="22"/>
        <color theme="1"/>
        <rFont val="Calibri"/>
        <family val="2"/>
        <scheme val="minor"/>
      </rPr>
      <t xml:space="preserve">TAB 1:  BASE GRANTEE SET UP &amp; INFO  </t>
    </r>
    <r>
      <rPr>
        <sz val="22"/>
        <color theme="1"/>
        <rFont val="Calibri"/>
        <family val="2"/>
        <scheme val="minor"/>
      </rPr>
      <t xml:space="preserve"> </t>
    </r>
  </si>
  <si>
    <r>
      <rPr>
        <b/>
        <sz val="11"/>
        <color theme="1"/>
        <rFont val="Calibri"/>
        <family val="2"/>
        <scheme val="minor"/>
      </rPr>
      <t>1.A</t>
    </r>
    <r>
      <rPr>
        <sz val="11"/>
        <color theme="1"/>
        <rFont val="Calibri"/>
        <family val="2"/>
        <scheme val="minor"/>
      </rPr>
      <t xml:space="preserve"> Lines 3 - 8:  Complete all information, including updating the date each month on this tab: This will populate to other tabs </t>
    </r>
  </si>
  <si>
    <t>1A:  Grantee - Program Information: ON LINES 5- 9 ALL INFORMATION WILL NEED TO BE ENTER AND CHANGES MADE (INCLUDING THE DATE)  ON THE GRANTEE SET UP &amp; INFO TAB - INFORMATION WILL POPULATE TO OTHER TABS</t>
  </si>
  <si>
    <r>
      <t xml:space="preserve">Program Name:  </t>
    </r>
    <r>
      <rPr>
        <sz val="8"/>
        <rFont val="Calibri"/>
        <family val="2"/>
        <scheme val="minor"/>
      </rPr>
      <t xml:space="preserve">(same as on Statement of Work): </t>
    </r>
  </si>
  <si>
    <t>Grantee Name:</t>
  </si>
  <si>
    <r>
      <t xml:space="preserve">Name of Program </t>
    </r>
    <r>
      <rPr>
        <sz val="8"/>
        <rFont val="Calibri"/>
        <family val="2"/>
        <scheme val="minor"/>
      </rPr>
      <t>(given by Grantee):;</t>
    </r>
  </si>
  <si>
    <t>Contact Name (s)</t>
  </si>
  <si>
    <t xml:space="preserve">Physical Address of Program: </t>
  </si>
  <si>
    <t xml:space="preserve">Contact Phone: </t>
  </si>
  <si>
    <t>Grant Number:</t>
  </si>
  <si>
    <r>
      <rPr>
        <b/>
        <sz val="11"/>
        <rFont val="Calibri"/>
        <family val="2"/>
        <scheme val="minor"/>
      </rPr>
      <t xml:space="preserve">Month Being Reported </t>
    </r>
    <r>
      <rPr>
        <sz val="8"/>
        <rFont val="Calibri"/>
        <family val="2"/>
        <scheme val="minor"/>
      </rPr>
      <t>(Month/Year)</t>
    </r>
    <r>
      <rPr>
        <sz val="11"/>
        <rFont val="Calibri"/>
        <family val="2"/>
        <scheme val="minor"/>
      </rPr>
      <t>:</t>
    </r>
  </si>
  <si>
    <t>Program Code :</t>
  </si>
  <si>
    <t>Line 1</t>
  </si>
  <si>
    <t>Will have the Name of the Form and the Version of the Form - Please check to see that you are using the most recent version</t>
  </si>
  <si>
    <t>Line 2</t>
  </si>
  <si>
    <t xml:space="preserve">Reminder that the forms need to be submitted electronically to DHHRBBHReporting@wv.gov.  You can certainly cc other individuals; however, it is critical that all forms be sent to this e-mail address. </t>
  </si>
  <si>
    <t>1):  Lines 3- 8</t>
  </si>
  <si>
    <t>Grantee - Program Information:  ALL INFORMATION WILL NEED TO BE ENTER AND CHANGES MADE (INCLUDING THE DATE)  ON THE BASE GRANTEE SET UP &amp; INFO TAB - INFORMATION WILL POPULATE TO OTHER TABS</t>
  </si>
  <si>
    <t>2): Lines - 9&gt;</t>
  </si>
  <si>
    <r>
      <rPr>
        <b/>
        <sz val="11"/>
        <color theme="1"/>
        <rFont val="Calibri"/>
        <family val="2"/>
        <scheme val="minor"/>
      </rPr>
      <t xml:space="preserve">PERTINENT INFORMATION:  </t>
    </r>
    <r>
      <rPr>
        <sz val="11"/>
        <color theme="1"/>
        <rFont val="Calibri"/>
        <family val="2"/>
        <scheme val="minor"/>
      </rPr>
      <t xml:space="preserve">This space is for a narrative about the program in order to provide Pertinent information - Updates - Highlights about the program.  Sections are divided into months. </t>
    </r>
  </si>
  <si>
    <t>TAB 2:   Resource Coordination (RC) and FUNDS FOR YOU (FFY)</t>
  </si>
  <si>
    <t xml:space="preserve">Headers for the spread sheet.  This is activated by going to VIEW in the tool bar; Freeze Panes, Freeze top row.  This is beneficial as you scroll down the page. </t>
  </si>
  <si>
    <t xml:space="preserve">Reflects the Name of the Reporting tool with the most recent version of the form.  Please make sure you are using the most recent version of the form </t>
  </si>
  <si>
    <t>Line 3</t>
  </si>
  <si>
    <t xml:space="preserve">Fiscal Year for the Program. </t>
  </si>
  <si>
    <t>Line 34</t>
  </si>
  <si>
    <t xml:space="preserve">Reminder of where to send the form.  </t>
  </si>
  <si>
    <t>Lines 5 - 10</t>
  </si>
  <si>
    <t xml:space="preserve">1): PROGRAM INFORMATION:  Any changes, including updating the date need to be made on BASE GRANTEE SET UP &amp; INFO TAB (an earlier tab): </t>
  </si>
  <si>
    <t>Line 11&gt;</t>
  </si>
  <si>
    <t xml:space="preserve">2):  Traumatic Brain Injury (TBI) - RESOURCE COORDINATION (INCLUDING REFERRAL TO FUNDS FOR YOU) </t>
  </si>
  <si>
    <t>Line 15&gt; Column B</t>
  </si>
  <si>
    <t xml:space="preserve">Date of Referral for Resource Coordination - The date the individual was referred to the program.  Include individual who are in the program at the beginning of the Fiscal Year. </t>
  </si>
  <si>
    <t>Line 15&gt; Column C</t>
  </si>
  <si>
    <t xml:space="preserve">Has the individual been referred to the program before - Select from drop-down box (YES/NO) </t>
  </si>
  <si>
    <t>Line 15&gt; Column D</t>
  </si>
  <si>
    <t xml:space="preserve">Internal Space for Grantee - For your own use; some grantee use 'first name, initials of clients, etc.)  Full names or other personally identifiable information that could I.D. the client cannot be used when submitting reports. </t>
  </si>
  <si>
    <t>Line 15&gt; Column E</t>
  </si>
  <si>
    <t>The Client ID is a unique client identifier determined by the project. The ID should be permanent for the client.  If a client is discharged and readmitted, the same Client I.D. needs to be used.  For confidentiality reasons, do not use any part of the client’s date of birth or Social Security number in the Client ID.</t>
  </si>
  <si>
    <t>Line 15&gt; Column F</t>
  </si>
  <si>
    <t xml:space="preserve">County of Residence for Client - Select from drop-down box </t>
  </si>
  <si>
    <t>Line 15&gt; Column G</t>
  </si>
  <si>
    <t>Age -  Enter number - DO NOT USE alphabet</t>
  </si>
  <si>
    <t>Line 15&gt; Column H</t>
  </si>
  <si>
    <t xml:space="preserve">Gender - Select from drop-down box </t>
  </si>
  <si>
    <t>Line 15&gt; Column I</t>
  </si>
  <si>
    <t xml:space="preserve">Race - Select from drop-down box </t>
  </si>
  <si>
    <t>Line 15&gt; Column J</t>
  </si>
  <si>
    <t xml:space="preserve">Ethnicity - Hispanic - Latino Origin -  Select from drop-down box </t>
  </si>
  <si>
    <t>Line 15&gt; Column K</t>
  </si>
  <si>
    <t xml:space="preserve">Presenting  Issue / Problem - Provide a brief narrative </t>
  </si>
  <si>
    <t>Line 15&gt; Column L</t>
  </si>
  <si>
    <t xml:space="preserve">Was the individual placed on a wait list for Resource Coordination (RC),  also encompasses referrals to Funds for You (FFY):  Select from drop-down box. </t>
  </si>
  <si>
    <t>Line 15&gt; Column M</t>
  </si>
  <si>
    <t>Date Resource Coordination Services began -  Enter Date -- Use Month/Day/Year (00/00/0000)</t>
  </si>
  <si>
    <t>Line 15&gt; Column N</t>
  </si>
  <si>
    <t>Date(s) Successful Linkages and  Refererals Made on behalf of Client during fiscal year</t>
  </si>
  <si>
    <t>Line 15&gt; Column O</t>
  </si>
  <si>
    <t xml:space="preserve">Linkages and Referrals made; Referred for PBS Services  - Select from drop-down box (YES/NO) </t>
  </si>
  <si>
    <t>Line 15&gt; Column P</t>
  </si>
  <si>
    <t xml:space="preserve">Linkages and Referrals made; Referred for Assistive Technology Services  - Select from drop-down box (YES/NO) </t>
  </si>
  <si>
    <t>Line 15&gt; Column Q</t>
  </si>
  <si>
    <t xml:space="preserve">Linkages and Referrals made; Referred for Crisis Services  - Select from drop-down box (YES/NO) </t>
  </si>
  <si>
    <t>Line 15&gt; Column R</t>
  </si>
  <si>
    <t xml:space="preserve">Linkages and Referrals made; Referred for Traumatic Brain Injury (TBI) Protection and Advocacy Agency  Services  - Select from drop-down box (YES/NO) </t>
  </si>
  <si>
    <t>Line 15&gt; Column S</t>
  </si>
  <si>
    <t xml:space="preserve">Linkages and Referrals made; Referred for Other Services  Specify in Note Section - Select from drop-down box (YES/NO) </t>
  </si>
  <si>
    <t>Line 15&gt; Column T</t>
  </si>
  <si>
    <t>Note Section for Column S</t>
  </si>
  <si>
    <t>Line 15&gt; Column U</t>
  </si>
  <si>
    <t>Line 15&gt; Column V</t>
  </si>
  <si>
    <t>Note Section for Column U</t>
  </si>
  <si>
    <t>Line 15&gt; Column W</t>
  </si>
  <si>
    <t xml:space="preserve">Referred for Funds for You:   Select from drop-down box </t>
  </si>
  <si>
    <t>Line 15&gt; Column X</t>
  </si>
  <si>
    <t>If Referred to Funds for You; Date Referred</t>
  </si>
  <si>
    <t>Line 15&gt; Column Y</t>
  </si>
  <si>
    <t xml:space="preserve">Support Category:  Dental  - Select from drop-down box (YES/NO) </t>
  </si>
  <si>
    <t>Line 15&gt; Column Z</t>
  </si>
  <si>
    <t xml:space="preserve">Support Category:  Medical  - Select from drop-down box (YES/NO) </t>
  </si>
  <si>
    <t>Line 15&gt; Column AA</t>
  </si>
  <si>
    <t xml:space="preserve">Support Category: Vision  - Select from drop-down box (YES/NO) </t>
  </si>
  <si>
    <t>Line 13&gt; Column AB</t>
  </si>
  <si>
    <t xml:space="preserve">Support Category: Adaptive Equipment  - Select from drop-down box (YES/NO) </t>
  </si>
  <si>
    <t>Line 15&gt; Column AC</t>
  </si>
  <si>
    <t xml:space="preserve">Support Category: Home Modification  - Select from drop-down box (YES/NO) </t>
  </si>
  <si>
    <t>Line 15&gt; Column AD</t>
  </si>
  <si>
    <t xml:space="preserve">Support Category: Speech, Occupational Therapy (OT), Physical Therapy (PT)   - Select from drop-down box (YES/NO) </t>
  </si>
  <si>
    <t>Line 13&gt; Column AE</t>
  </si>
  <si>
    <t xml:space="preserve">Support Category: Start-up  - Select from drop-down box (YES/NO) </t>
  </si>
  <si>
    <t>Line 15&gt; Column AF</t>
  </si>
  <si>
    <t>Support Category: Other (Specify)  - Select from drop-down box (YES/NO) If other is selected specify in Column AF.</t>
  </si>
  <si>
    <t>Line 15&gt; Column AG</t>
  </si>
  <si>
    <t>Note Section for Column AF</t>
  </si>
  <si>
    <t>Line 15&gt; Column AH</t>
  </si>
  <si>
    <t>Support Category: Other (Specify)  - Select from drop-down box (YES/NO)  If other is selected specify in Column AF.</t>
  </si>
  <si>
    <t>Line 15&gt; Column AI</t>
  </si>
  <si>
    <t>Note Section for Column AH</t>
  </si>
  <si>
    <t>Line 15&gt; Column AJ</t>
  </si>
  <si>
    <t xml:space="preserve">FUNDS FOR YOU (FFY): Amount of Funds Being Requested (Input amount of funds being requested) </t>
  </si>
  <si>
    <t>Line 15&gt; Column AK</t>
  </si>
  <si>
    <t xml:space="preserve">FUNDS FOR YOU (FFY): Family Contribution (If any, Input amount of funds being requested) </t>
  </si>
  <si>
    <t>Line 15&gt; Column AL</t>
  </si>
  <si>
    <t xml:space="preserve">FUNDS FOR YOU (FFY): Additional Resources Generated  (If any, Input amount of funds being requested) </t>
  </si>
  <si>
    <t>Line 15&gt; Column AM</t>
  </si>
  <si>
    <t xml:space="preserve">FUNDS FOR YOU (FFY):  Total FUNDS FOR YOU (FFY) denied, (Input amount of funds denied) </t>
  </si>
  <si>
    <t>Line 15&gt; Column AN</t>
  </si>
  <si>
    <t xml:space="preserve">FUNDS FOR YOU (FFY):  Total FUNDS FOR YOU (FFY) canceled, (Input amount of funds canceled) </t>
  </si>
  <si>
    <t>Line 15&gt; Column AO</t>
  </si>
  <si>
    <t xml:space="preserve">FUNDS FOR YOU (FFY):  Total FUNDS FOR YOU (FFY) approved, (Input amount of funds approved) </t>
  </si>
  <si>
    <t>Line 15&gt; Column AP</t>
  </si>
  <si>
    <t xml:space="preserve">FUNDS FOR YOU (FFY):  Total FUNDS FOR YOU (FFY)returned by the client (If any, Input amount of funds approved) </t>
  </si>
  <si>
    <t xml:space="preserve">Was the Funds for You Request Closed - (Amount - Requested, either denied or approved, request completed/closed) - Select from drop-down box (YES/NO) </t>
  </si>
  <si>
    <t>Line 15&gt; ColumnAP</t>
  </si>
  <si>
    <t>Was need(s) Met with FFY, If no or partially met give an explanation in NOTE Section (Column DG-DO)</t>
  </si>
  <si>
    <t>Line 15&gt; Column AQ</t>
  </si>
  <si>
    <t>Was the client Discharged from Resource Coordination Services [FUNDS FOR YOU (FFY) encompasses RC Services] - Select from drop-down box (YES/NO) - When YES is selected, the line will turn "gray"</t>
  </si>
  <si>
    <t>Line 15&gt; Column AR</t>
  </si>
  <si>
    <t>Date Resource Coordination Services Ended -  Enter Date -- Use Month/Day/Year (00/00/0000)</t>
  </si>
  <si>
    <t>Line 15&gt; Column AS</t>
  </si>
  <si>
    <t xml:space="preserve">Were Issues / Problems Resolved with Resource Coordination   - Select from drop-down box (YES/NO) </t>
  </si>
  <si>
    <t>Line 15&gt; Column AT</t>
  </si>
  <si>
    <t>Brief Description of Accomplishments - Provide a brief narrative</t>
  </si>
  <si>
    <t>Line 15&gt; Column AU</t>
  </si>
  <si>
    <t>Needs / Service Gaps Identified  - Provide a brief narrative</t>
  </si>
  <si>
    <t>Line 15&gt; Column AV</t>
  </si>
  <si>
    <t xml:space="preserve">NOTES:  Space for a narrative to be provided. </t>
  </si>
  <si>
    <t>Line 15&gt; Column AW</t>
  </si>
  <si>
    <t xml:space="preserve">Time Span from receipt of referral to start of Resource Coordination services:   Will calculate from (date of Referral for Resource Coordination) and  (Date Resource Coordination Service began) </t>
  </si>
  <si>
    <t>Time Span from start to closure:  Will calculate from (date Resource Coordination Service began) and  (Date Resource Coordination Service ended)</t>
  </si>
  <si>
    <t>TAB 3:  NEUROPSYCHOLOGICAL EVALUATIONS</t>
  </si>
  <si>
    <t>Lines 5 - 11</t>
  </si>
  <si>
    <t>Line 12&gt;</t>
  </si>
  <si>
    <t xml:space="preserve">2):  Traumatic Brain Injury (TBI) - Neuropsychological Screening and Evaluations: </t>
  </si>
  <si>
    <t>Line 14&gt; Column B</t>
  </si>
  <si>
    <t>Date of Referral for the Neuropsychological Evaluation   Enter Date -- Use Month/Day/Year (00/00/0000)</t>
  </si>
  <si>
    <t>Line 14&gt; Column C</t>
  </si>
  <si>
    <t>Line 14&gt; Column D</t>
  </si>
  <si>
    <t>The Client ID is a unique client identifier determined by the project.  For confidentiality reasons, do not use any part of the client’s date of birth or Social Security number in the Client ID.</t>
  </si>
  <si>
    <t>Line 14&gt; Column E</t>
  </si>
  <si>
    <t>Line 14&gt; Column F</t>
  </si>
  <si>
    <t>Line 14&gt; Column G</t>
  </si>
  <si>
    <t>Line 14&gt; Column H</t>
  </si>
  <si>
    <t>Line 14&gt; Column I</t>
  </si>
  <si>
    <t>Line 14&gt; Column J</t>
  </si>
  <si>
    <t>Date the Neuropsychological Evaluation was initiated/first appointment    Enter Date -- Use Month/Day/Year (00/00/0000)</t>
  </si>
  <si>
    <t>Line 14&gt; Column K</t>
  </si>
  <si>
    <t>Was the Evaluation completed?  Select from drop-down box (YES/NO)</t>
  </si>
  <si>
    <t>Line 14&gt; Column L</t>
  </si>
  <si>
    <t>Date the Neuropsychological Evaluation was completed (final appointment)    Enter Date -- Use Month/Day/Year (00/00/0000)</t>
  </si>
  <si>
    <t>Line 14&gt; Column M</t>
  </si>
  <si>
    <t xml:space="preserve">NOTES:  </t>
  </si>
  <si>
    <t xml:space="preserve">TAB 4:  TRAINING &amp; TECHNICAL ASSISTANCE </t>
  </si>
  <si>
    <t>Date of Training - Enter Date -- Use Month/Day/Year (00/00/0000)</t>
  </si>
  <si>
    <t>Type of Event (Select from drop-down box Either Training or Technical Assistance</t>
  </si>
  <si>
    <t>Name of  Training and/or Technical Assistance Event Held  - Provide Narrative of Name of the event</t>
  </si>
  <si>
    <t xml:space="preserve">Location of training/or technical Assistance Event 9 Include at least the City and the County </t>
  </si>
  <si>
    <t xml:space="preserve">Who attended the event ?(Consumers, Families, Service Providers, State Agencies, First Responders, etc. ) </t>
  </si>
  <si>
    <t xml:space="preserve"># Attending who are funded by the SOR grant - Use a number - DO NOT use alphabet </t>
  </si>
  <si>
    <t xml:space="preserve">Brief Description of the training and/or Technical Assistance Event. </t>
  </si>
  <si>
    <t>TAB 4: PUBLIC MEETINGS</t>
  </si>
  <si>
    <t>2):  Traumatic Brain Injury (TBI) - Public Meetings held in each Congressionional District -  A Congressional Districts map can be located at https://www.govtrack.us/congress/members/WV#map</t>
  </si>
  <si>
    <t>Line 14&gt; Column C-D</t>
  </si>
  <si>
    <t>Date of Public Meeting - Enter Date -- Use Month/Day/Year (00/00/0000)</t>
  </si>
  <si>
    <t>Line 14&gt; Column E-K</t>
  </si>
  <si>
    <t xml:space="preserve">Congressional District Public Meeting occurred In - Select from the drop-down box </t>
  </si>
  <si>
    <t>Line 14&gt; Column L-R</t>
  </si>
  <si>
    <t xml:space="preserve">Location of Meeting  (Include at least the City and County </t>
  </si>
  <si>
    <t>Line 14&gt; Column S-U</t>
  </si>
  <si>
    <t xml:space="preserve"># Attending </t>
  </si>
  <si>
    <t>Line 14&gt; Column AA-AD</t>
  </si>
  <si>
    <t xml:space="preserve">Entity  Providing / Leading Activity  - Name of Organization, Company, Agency, etc. </t>
  </si>
  <si>
    <t>Line 14&gt; Column V-AX</t>
  </si>
  <si>
    <t xml:space="preserve">Provide a brief narrative of needs and gaps in services identified  at the meetings. </t>
  </si>
  <si>
    <t>TAB 8:   SUMMARY</t>
  </si>
  <si>
    <t xml:space="preserve">Program reports need to be submitted electronically, via e-mail to DHHRBBHReporting@wv.gov within 25 calendar days of the end of each month </t>
  </si>
  <si>
    <t>1) GRANTEE - PROGRAM INFORMATION:   Will populate to other tabs  except for MONTHLY TABS (JULY - JUNE) (All changes to these lines will need to be completed on this tab)</t>
  </si>
  <si>
    <r>
      <rPr>
        <b/>
        <sz val="11"/>
        <color theme="1"/>
        <rFont val="Calibri"/>
        <family val="2"/>
        <scheme val="minor"/>
      </rPr>
      <t xml:space="preserve">Program: </t>
    </r>
    <r>
      <rPr>
        <sz val="8"/>
        <color theme="1"/>
        <rFont val="Calibri"/>
        <family val="2"/>
        <scheme val="minor"/>
      </rPr>
      <t>(same as on Statement of Work [SOW])</t>
    </r>
  </si>
  <si>
    <t xml:space="preserve">Traumatic Brain Injury (TBI) Program </t>
  </si>
  <si>
    <r>
      <t xml:space="preserve">WV University Research Corporation - </t>
    </r>
    <r>
      <rPr>
        <sz val="8"/>
        <color theme="1"/>
        <rFont val="Calibri"/>
        <family val="2"/>
        <scheme val="minor"/>
      </rPr>
      <t xml:space="preserve">WVU Center of Excellence in Disabilities </t>
    </r>
  </si>
  <si>
    <r>
      <rPr>
        <b/>
        <sz val="11"/>
        <color theme="1"/>
        <rFont val="Calibri"/>
        <family val="2"/>
        <scheme val="minor"/>
      </rPr>
      <t xml:space="preserve">Name of Program: </t>
    </r>
    <r>
      <rPr>
        <sz val="11"/>
        <color theme="1"/>
        <rFont val="Calibri"/>
        <family val="2"/>
        <scheme val="minor"/>
      </rPr>
      <t>(given by Grantee)</t>
    </r>
  </si>
  <si>
    <t xml:space="preserve">TBI Program </t>
  </si>
  <si>
    <t>Contact Name(s):</t>
  </si>
  <si>
    <t>Physical Address of Program:</t>
  </si>
  <si>
    <t>959 Hartman Run Road, Morgantown, WV 26506</t>
  </si>
  <si>
    <t>Contact Phone Number(s):</t>
  </si>
  <si>
    <r>
      <rPr>
        <b/>
        <sz val="11"/>
        <color theme="1"/>
        <rFont val="Calibri"/>
        <family val="2"/>
        <scheme val="minor"/>
      </rPr>
      <t>Grant Number:</t>
    </r>
    <r>
      <rPr>
        <sz val="11"/>
        <color theme="1"/>
        <rFont val="Calibri"/>
        <family val="2"/>
        <scheme val="minor"/>
      </rPr>
      <t xml:space="preserve"> </t>
    </r>
    <r>
      <rPr>
        <sz val="8"/>
        <color theme="1"/>
        <rFont val="Calibri"/>
        <family val="2"/>
        <scheme val="minor"/>
      </rPr>
      <t xml:space="preserve">(located on Grant Agreement) </t>
    </r>
  </si>
  <si>
    <t>DATE</t>
  </si>
  <si>
    <t>MONTH</t>
  </si>
  <si>
    <t>July</t>
  </si>
  <si>
    <t>YEAR</t>
  </si>
  <si>
    <r>
      <rPr>
        <b/>
        <sz val="11"/>
        <color theme="1"/>
        <rFont val="Calibri"/>
        <family val="2"/>
        <scheme val="minor"/>
      </rPr>
      <t>Program Code:</t>
    </r>
    <r>
      <rPr>
        <sz val="11"/>
        <color theme="1"/>
        <rFont val="Calibri"/>
        <family val="2"/>
        <scheme val="minor"/>
      </rPr>
      <t xml:space="preserve"> </t>
    </r>
    <r>
      <rPr>
        <sz val="8"/>
        <color theme="1"/>
        <rFont val="Calibri"/>
        <family val="2"/>
        <scheme val="minor"/>
      </rPr>
      <t xml:space="preserve">(located on TFB or SOW) </t>
    </r>
  </si>
  <si>
    <t xml:space="preserve">2)  PERTINENT INFORMATION - UPDATES - HIGHLIGHTS REGARDING THE PROGRAM </t>
  </si>
  <si>
    <t xml:space="preserve">PERTINENT INFORMATION REGARDING THE PROGRAM </t>
  </si>
  <si>
    <t>JULY</t>
  </si>
  <si>
    <t xml:space="preserve">Monthly Program Narrative </t>
  </si>
  <si>
    <t>AUG</t>
  </si>
  <si>
    <t>SEPT</t>
  </si>
  <si>
    <t>OCT</t>
  </si>
  <si>
    <t>NOV</t>
  </si>
  <si>
    <t>DEC</t>
  </si>
  <si>
    <t>JAN</t>
  </si>
  <si>
    <t>FEB</t>
  </si>
  <si>
    <t>MAR</t>
  </si>
  <si>
    <t>APRIL</t>
  </si>
  <si>
    <t>MAY</t>
  </si>
  <si>
    <t>JUNE</t>
  </si>
  <si>
    <t>#</t>
  </si>
  <si>
    <t>Date of Referral for Resource Coordination</t>
  </si>
  <si>
    <t xml:space="preserve">Has Individual been discharged and readmitted for  RC Services? </t>
  </si>
  <si>
    <t xml:space="preserve">Internal Space for Grantee </t>
  </si>
  <si>
    <t>Internal Client ID</t>
  </si>
  <si>
    <t>County of Residence for Client</t>
  </si>
  <si>
    <t xml:space="preserve">Age of Client at time of referral </t>
  </si>
  <si>
    <t>Gender</t>
  </si>
  <si>
    <t>Race</t>
  </si>
  <si>
    <t>Ethnicity</t>
  </si>
  <si>
    <t xml:space="preserve">Brief Description of Specific Issues / Problems Initiating Need for  Resource Coordination </t>
  </si>
  <si>
    <t>wait list (YES/NO)</t>
  </si>
  <si>
    <t xml:space="preserve">Date Resource Coordination Serivces began </t>
  </si>
  <si>
    <t>Referred for PBS Services</t>
  </si>
  <si>
    <t>Referred for Assistive Technology Services</t>
  </si>
  <si>
    <t xml:space="preserve">Referred for Crisis Services </t>
  </si>
  <si>
    <t>Referred for TBI Protection and Advocacy Agency</t>
  </si>
  <si>
    <t xml:space="preserve">Referred for Other Services (Specify) </t>
  </si>
  <si>
    <t>Notte Section for Column S</t>
  </si>
  <si>
    <t>Notte Section for Column U</t>
  </si>
  <si>
    <t xml:space="preserve">Referred for Funds for You </t>
  </si>
  <si>
    <t>DENTAL</t>
  </si>
  <si>
    <t>Medical</t>
  </si>
  <si>
    <t>VISION</t>
  </si>
  <si>
    <t>ADAPTIVE EQUIPMENT</t>
  </si>
  <si>
    <t>Home Modification</t>
  </si>
  <si>
    <t>Speech, OT, PT</t>
  </si>
  <si>
    <t>Start - up</t>
  </si>
  <si>
    <t>Other (Specify)</t>
  </si>
  <si>
    <t>NOTE SECTION  FOR COLUMN AF</t>
  </si>
  <si>
    <t xml:space="preserve">Other (Specify) </t>
  </si>
  <si>
    <t>NOTE SECTION  FOR COLUMN AH</t>
  </si>
  <si>
    <t>Amount of FUNDS FOR YOU Being Requested</t>
  </si>
  <si>
    <t>Amount of Family Contributions</t>
  </si>
  <si>
    <t>Additional Resources Generated</t>
  </si>
  <si>
    <t>Total Amount of FUNDS FOR YOU Denied</t>
  </si>
  <si>
    <t>Total Amount of FUNDS FOR YOU Canceled</t>
  </si>
  <si>
    <t>Total Amount of FUNDS FOR YOU Approved</t>
  </si>
  <si>
    <t>Amount of FUNDS RETURNED</t>
  </si>
  <si>
    <t>Funds for You Request Closed (YES/NO)</t>
  </si>
  <si>
    <t xml:space="preserve">Was the Need(s) Met with FFY? If no or partially met give explanation in Column AS Note Section </t>
  </si>
  <si>
    <t xml:space="preserve">Note Column for AR </t>
  </si>
  <si>
    <t xml:space="preserve">Discharged from RC Services </t>
  </si>
  <si>
    <t>Date Resource Coordination Services Ended/ Discharged</t>
  </si>
  <si>
    <t>Issues/ Problems Resolved with RC (YES/NO)</t>
  </si>
  <si>
    <t xml:space="preserve">Brief Description of Accomplishments </t>
  </si>
  <si>
    <t>Brief Narrataive: Needs, Service Gaps Identified</t>
  </si>
  <si>
    <t xml:space="preserve">General Note Section for Resource Coordination and Funds for you </t>
  </si>
  <si>
    <t>time span referral start</t>
  </si>
  <si>
    <t>time span start to closure</t>
  </si>
  <si>
    <t xml:space="preserve">1) GRANTEE - PROGRAM INFORMATION:   (Any changes, including updating the date, will need to be made on BASE GRANTEE SET UP &amp; INFO tab)  </t>
  </si>
  <si>
    <r>
      <rPr>
        <b/>
        <sz val="11"/>
        <color theme="1"/>
        <rFont val="Calibri"/>
        <family val="2"/>
        <scheme val="minor"/>
      </rPr>
      <t>Month/Year Being Reported</t>
    </r>
    <r>
      <rPr>
        <b/>
        <sz val="8"/>
        <color theme="1"/>
        <rFont val="Calibri"/>
        <family val="2"/>
        <scheme val="minor"/>
      </rPr>
      <t xml:space="preserve"> </t>
    </r>
    <r>
      <rPr>
        <sz val="8"/>
        <color theme="1"/>
        <rFont val="Calibri"/>
        <family val="2"/>
        <scheme val="minor"/>
      </rPr>
      <t xml:space="preserve">(Drop-Down box) </t>
    </r>
  </si>
  <si>
    <t xml:space="preserve">2)  Traumatic Brain Injury (TBI)  (Funds for You, Referrals and Neuropsychological screenings and evaluations: </t>
  </si>
  <si>
    <r>
      <rPr>
        <b/>
        <sz val="14"/>
        <rFont val="Calibri"/>
        <family val="2"/>
        <scheme val="minor"/>
      </rPr>
      <t xml:space="preserve">COMPLETE AT BEGINNING OF FISCAL YEAR OR AT TIME OF REFERRAL - DEMOGRAPHICS  </t>
    </r>
    <r>
      <rPr>
        <b/>
        <sz val="12"/>
        <rFont val="Calibri"/>
        <family val="2"/>
        <scheme val="minor"/>
      </rPr>
      <t xml:space="preserve">  (INCLUDE ALL CLIENTS ACTIVE IN THE PROGRAM AT THE BEGINNING OF THE FISCAL YEAR) </t>
    </r>
  </si>
  <si>
    <t>CLIENT INFORMATION</t>
  </si>
  <si>
    <t xml:space="preserve">DEMOGRAPHICS </t>
  </si>
  <si>
    <t xml:space="preserve">PRESENTING ISSUE / PROBLEM </t>
  </si>
  <si>
    <t>WAIT LISTED FOR RC</t>
  </si>
  <si>
    <t xml:space="preserve">Date RC began </t>
  </si>
  <si>
    <r>
      <t xml:space="preserve">                      Successful Linkages and Referrals Made                                                                                                          </t>
    </r>
    <r>
      <rPr>
        <b/>
        <sz val="9"/>
        <color theme="1"/>
        <rFont val="Calibri"/>
        <family val="2"/>
        <scheme val="minor"/>
      </rPr>
      <t xml:space="preserve">                                                                              </t>
    </r>
  </si>
  <si>
    <t xml:space="preserve">Support Category </t>
  </si>
  <si>
    <r>
      <t xml:space="preserve">FUNDS FOR YOU (FFY)  Fiscal Year 2021 </t>
    </r>
    <r>
      <rPr>
        <b/>
        <sz val="10"/>
        <color theme="1"/>
        <rFont val="Calibri"/>
        <family val="2"/>
        <scheme val="minor"/>
      </rPr>
      <t>(THIS SECTION STARTS OVER AT THE BEGINNING OF EACH FISCAL YEAR)</t>
    </r>
  </si>
  <si>
    <t xml:space="preserve">OUTCOMES OF RESOURCE COORDINATION </t>
  </si>
  <si>
    <t>NOTES</t>
  </si>
  <si>
    <t xml:space="preserve">TIME SPAN </t>
  </si>
  <si>
    <t xml:space="preserve">Date of Referral for Resource Coordination Services </t>
  </si>
  <si>
    <t>Was Individual placed on wait list for RC?</t>
  </si>
  <si>
    <t xml:space="preserve">Date Resource Coordination Services began </t>
  </si>
  <si>
    <t xml:space="preserve">Date(s) Successful Linkages and  Refererals Made on behalf of Client during fiscal year </t>
  </si>
  <si>
    <t xml:space="preserve">Notte Section for Column S </t>
  </si>
  <si>
    <t>Individual Discharged from Resource Coordination Services?</t>
  </si>
  <si>
    <r>
      <t xml:space="preserve">Issues/ Problems Resolved with RC </t>
    </r>
    <r>
      <rPr>
        <b/>
        <sz val="8"/>
        <color theme="9" tint="-0.499984740745262"/>
        <rFont val="Calibri"/>
        <family val="2"/>
        <scheme val="minor"/>
      </rPr>
      <t>(YES/NO)</t>
    </r>
  </si>
  <si>
    <t xml:space="preserve">Age of Client </t>
  </si>
  <si>
    <t xml:space="preserve">Date of Evaluation </t>
  </si>
  <si>
    <t xml:space="preserve">Was Evaluation Completed? </t>
  </si>
  <si>
    <t xml:space="preserve">Date Screening Evaluation Completed </t>
  </si>
  <si>
    <t xml:space="preserve">1) GRANTEE - PROGRAM INFORMATION:   (Any changes, including updating the date will need to be made on BASE GRANTEE SET UP &amp; INFO tab)  </t>
  </si>
  <si>
    <t>Grantee name:</t>
  </si>
  <si>
    <r>
      <rPr>
        <b/>
        <sz val="11"/>
        <color theme="1"/>
        <rFont val="Calibri"/>
        <family val="2"/>
        <scheme val="minor"/>
      </rPr>
      <t>Grant  Number:</t>
    </r>
    <r>
      <rPr>
        <sz val="11"/>
        <color theme="1"/>
        <rFont val="Calibri"/>
        <family val="2"/>
        <scheme val="minor"/>
      </rPr>
      <t xml:space="preserve"> (located on Grant Agreement)</t>
    </r>
  </si>
  <si>
    <r>
      <rPr>
        <b/>
        <sz val="11"/>
        <color theme="1"/>
        <rFont val="Calibri"/>
        <family val="2"/>
        <scheme val="minor"/>
      </rPr>
      <t>Program Code:</t>
    </r>
    <r>
      <rPr>
        <sz val="11"/>
        <color theme="1"/>
        <rFont val="Calibri"/>
        <family val="2"/>
        <scheme val="minor"/>
      </rPr>
      <t xml:space="preserve"> (Located on TFB or SOW) </t>
    </r>
  </si>
  <si>
    <t xml:space="preserve">2)  Traumatic Brain Injury (TBI) - Neuropsychological screenings and evaluations: </t>
  </si>
  <si>
    <t xml:space="preserve">NEUROPSYCHOLOGICAL SCREENINGS AND EVALUATIONS COMPLETED </t>
  </si>
  <si>
    <t>Date of Referral for Neuropsychological  Evaluation</t>
  </si>
  <si>
    <t xml:space="preserve">Number </t>
  </si>
  <si>
    <t>Date</t>
  </si>
  <si>
    <t xml:space="preserve">Type (Training or Technical Assistance) </t>
  </si>
  <si>
    <t>Name of Training and/or Technical Assistance Event held</t>
  </si>
  <si>
    <t>Location of Training/or Technical Assistance Event (City/County)</t>
  </si>
  <si>
    <t>Who attended (Consumers, Families, Service Providers, State Agencies, etc.)</t>
  </si>
  <si>
    <t># in Attendance</t>
  </si>
  <si>
    <t>Brief Description of Training  and/or Technical Assistance Event</t>
  </si>
  <si>
    <t xml:space="preserve">1) GRANTEE - PROGRAM INFORMATION:   (Any changes, including updating the date,  will need to be made on BASE GRANTEE SET UP &amp; INFO Tab) </t>
  </si>
  <si>
    <t xml:space="preserve">WV Bureau for Behavioral Health and Health Facilities - ID/DD Crisis Response Services (Adult) </t>
  </si>
  <si>
    <t>2)  Training and Technical Assistance statewide on TBI issues to consumers, families, service providers and state agencies to increase their skills and understanding of the effects of TBI</t>
  </si>
  <si>
    <r>
      <t xml:space="preserve">Who attended </t>
    </r>
    <r>
      <rPr>
        <b/>
        <sz val="10"/>
        <color theme="1"/>
        <rFont val="Calibri"/>
        <family val="2"/>
        <scheme val="minor"/>
      </rPr>
      <t>(Consumers, Families, Service Providers, State Agencies, etc.)</t>
    </r>
  </si>
  <si>
    <t>Training</t>
  </si>
  <si>
    <t xml:space="preserve"> Congressional District</t>
  </si>
  <si>
    <t>Location of Meeting  (City/County)</t>
  </si>
  <si>
    <t>Brief description of needs and gaps in services of citizens with TBI and/or spinal cord injures.  Provide a  annual narrative report by June 30th of each fiscal year</t>
  </si>
  <si>
    <t>Month</t>
  </si>
  <si>
    <t>June</t>
  </si>
  <si>
    <t>Year</t>
  </si>
  <si>
    <t>2)  Traumatic Brain Injury (TBI)   Public Meetings  in each of the 3 Congressional Districts to be completed during the grant period  (ANNUAL NARRATIVE REPORT DUE BY JUNE 30)</t>
  </si>
  <si>
    <t xml:space="preserve">1) GRANTEE - PROGRAM INFORMATION:   (Any changes, including updating the date will need to be made on BASE GRANTEE SET UP &amp; INFO Tab) </t>
  </si>
  <si>
    <t>2) SUMMARY OF ALL THE TABS (RC and FUNDS FOR YOU, NEUROPSYCHOLOGICAL EVALS, TRAINING &amp; Tech Assistance, Public Meetings)</t>
  </si>
  <si>
    <t xml:space="preserve">TAB - RESCOURCE COORDINATION (RC) and FUNDS FOR YOU </t>
  </si>
  <si>
    <t xml:space="preserve">RESOURCE COORDINATION </t>
  </si>
  <si>
    <t>FY  2009  and before</t>
  </si>
  <si>
    <t>FY 2010</t>
  </si>
  <si>
    <t>FY 2011</t>
  </si>
  <si>
    <t>FY 2012</t>
  </si>
  <si>
    <t>FY 2013</t>
  </si>
  <si>
    <t>FY 2014</t>
  </si>
  <si>
    <t>FY 2015</t>
  </si>
  <si>
    <t>FY 2016</t>
  </si>
  <si>
    <t>FY 2017</t>
  </si>
  <si>
    <t>FY 2018</t>
  </si>
  <si>
    <t>FY 2019</t>
  </si>
  <si>
    <t>FY 2020</t>
  </si>
  <si>
    <t>FY 2021</t>
  </si>
  <si>
    <t>FY 2022</t>
  </si>
  <si>
    <t xml:space="preserve">TOTAL TO DATE </t>
  </si>
  <si>
    <t xml:space="preserve">ACTIVE INDIVIDUALS IN THE PROGRAM </t>
  </si>
  <si>
    <t xml:space="preserve">Number of Individuals referred for Resource Coordination Services </t>
  </si>
  <si>
    <t xml:space="preserve">Number of Individuals starting Resource Coordination </t>
  </si>
  <si>
    <t>Number of Individuals Ending (Discharged from) Resource Coordination Services</t>
  </si>
  <si>
    <t xml:space="preserve">Referrals minus discharages </t>
  </si>
  <si>
    <t xml:space="preserve">STATE FISCAL YEAR:         07/01/2020 - 06/30/2021  (TOTAL TO DATE) </t>
  </si>
  <si>
    <t xml:space="preserve">Resource Coordination </t>
  </si>
  <si>
    <t>TOTAL DAYS</t>
  </si>
  <si>
    <t xml:space="preserve">AVERAGE TIME SPAN </t>
  </si>
  <si>
    <t xml:space="preserve">average time span between referral and start of RC Services </t>
  </si>
  <si>
    <t xml:space="preserve">average time between start and closure of RC Services </t>
  </si>
  <si>
    <t>RESOURCE COORDINATION</t>
  </si>
  <si>
    <t>RACE</t>
  </si>
  <si>
    <t xml:space="preserve">ETHNICITY </t>
  </si>
  <si>
    <t>AGE</t>
  </si>
  <si>
    <t>White</t>
  </si>
  <si>
    <t>Black or African American</t>
  </si>
  <si>
    <t>Native Hawaiian / Other Pacific Islander</t>
  </si>
  <si>
    <t>Asian</t>
  </si>
  <si>
    <t>American Indian / Alaskan Native</t>
  </si>
  <si>
    <t xml:space="preserve">More than One Race Reported </t>
  </si>
  <si>
    <t xml:space="preserve">Unknown </t>
  </si>
  <si>
    <t xml:space="preserve">TOTAL </t>
  </si>
  <si>
    <t>Not Hispanic or Latino</t>
  </si>
  <si>
    <t>Hispanic or Latino</t>
  </si>
  <si>
    <t xml:space="preserve">County </t>
  </si>
  <si>
    <t>Male</t>
  </si>
  <si>
    <t>Female</t>
  </si>
  <si>
    <t>Barbour</t>
  </si>
  <si>
    <t>Mineral</t>
  </si>
  <si>
    <t>Age 12 and under</t>
  </si>
  <si>
    <t>Berkeley</t>
  </si>
  <si>
    <t>Mingo</t>
  </si>
  <si>
    <t>Age 13-17</t>
  </si>
  <si>
    <t>Boone</t>
  </si>
  <si>
    <t>Monongalia</t>
  </si>
  <si>
    <t>Age 18-20</t>
  </si>
  <si>
    <t>Braxton</t>
  </si>
  <si>
    <t>Monroe</t>
  </si>
  <si>
    <t>ages 21-24</t>
  </si>
  <si>
    <t>Brooke</t>
  </si>
  <si>
    <t>Morgan</t>
  </si>
  <si>
    <t>Ages 25-44</t>
  </si>
  <si>
    <t>Cabell</t>
  </si>
  <si>
    <t>Nicholas</t>
  </si>
  <si>
    <t>Ages 45-64</t>
  </si>
  <si>
    <t>Calhoun</t>
  </si>
  <si>
    <t>Ohio</t>
  </si>
  <si>
    <t>Ages 65-74</t>
  </si>
  <si>
    <t>Clay</t>
  </si>
  <si>
    <t>Pendleton</t>
  </si>
  <si>
    <t>Ages 75 and over</t>
  </si>
  <si>
    <t>Doddridge</t>
  </si>
  <si>
    <t>Pleasants</t>
  </si>
  <si>
    <t>Fayette</t>
  </si>
  <si>
    <t>Pocahontas</t>
  </si>
  <si>
    <t>TOTAL</t>
  </si>
  <si>
    <t>Gilmer</t>
  </si>
  <si>
    <t>Preston</t>
  </si>
  <si>
    <t>Grant</t>
  </si>
  <si>
    <t>Putnam</t>
  </si>
  <si>
    <t>no</t>
  </si>
  <si>
    <t>Greenbrier</t>
  </si>
  <si>
    <t>Raleigh</t>
  </si>
  <si>
    <t>Hampshire</t>
  </si>
  <si>
    <t>Randolph</t>
  </si>
  <si>
    <t>Hancock</t>
  </si>
  <si>
    <t>Ritchie</t>
  </si>
  <si>
    <t xml:space="preserve">Number of Individuals WAIT LISTED </t>
  </si>
  <si>
    <t>Hardy</t>
  </si>
  <si>
    <t>Roane</t>
  </si>
  <si>
    <t>Harrison</t>
  </si>
  <si>
    <t>Summers</t>
  </si>
  <si>
    <t>Jackson</t>
  </si>
  <si>
    <t>Taylor</t>
  </si>
  <si>
    <t>Number Individuals referred for PBS Services</t>
  </si>
  <si>
    <t>Jefferson</t>
  </si>
  <si>
    <t>Tucker</t>
  </si>
  <si>
    <t xml:space="preserve">Number of Individuals referred for Assistive Technology Services </t>
  </si>
  <si>
    <t>Kanawha</t>
  </si>
  <si>
    <t>Tyler</t>
  </si>
  <si>
    <t>Number of Individuals referred for Crisis Services</t>
  </si>
  <si>
    <t xml:space="preserve">Total INDIVIDUALS </t>
  </si>
  <si>
    <t>Lewis</t>
  </si>
  <si>
    <t>Upshur</t>
  </si>
  <si>
    <t xml:space="preserve">Number of Individuals referred for TBI Protection and Advocacy Agency Services </t>
  </si>
  <si>
    <t xml:space="preserve">Number of Referrals in the Resource Coordination Program  </t>
  </si>
  <si>
    <t>Lincoln</t>
  </si>
  <si>
    <t>Wayne</t>
  </si>
  <si>
    <t xml:space="preserve">Number of Individuals referred for Other Services </t>
  </si>
  <si>
    <t>Number of Individuals referred for Resource Coordination Services during the Fiscal Year</t>
  </si>
  <si>
    <t>Logan</t>
  </si>
  <si>
    <t>Webster</t>
  </si>
  <si>
    <t xml:space="preserve">Number of Individuals starting Resource Coordination Services </t>
  </si>
  <si>
    <t>Marion</t>
  </si>
  <si>
    <t>Wetzel</t>
  </si>
  <si>
    <t>Number of Individuals Ending (Discharged from) Resource Coordination Services -</t>
  </si>
  <si>
    <t>Marshall</t>
  </si>
  <si>
    <t>Wirt</t>
  </si>
  <si>
    <t>Issues - Problems Resolved with Resource Coordination</t>
  </si>
  <si>
    <t xml:space="preserve">TOTAL ACTIVE INDIVIDUALS IN THE PROGRAM YEAR TO DATE </t>
  </si>
  <si>
    <t>Mason</t>
  </si>
  <si>
    <t>Wood</t>
  </si>
  <si>
    <t>Yes</t>
  </si>
  <si>
    <t>McDowell</t>
  </si>
  <si>
    <t>Wyoming</t>
  </si>
  <si>
    <t>No</t>
  </si>
  <si>
    <t>Mercer</t>
  </si>
  <si>
    <t>TOTAL RC</t>
  </si>
  <si>
    <t xml:space="preserve">FUNDS FOR YOU </t>
  </si>
  <si>
    <t>FUNDS FOR YOU</t>
  </si>
  <si>
    <t>Hispanic-Latino</t>
  </si>
  <si>
    <r>
      <t xml:space="preserve">CATEGORIES OF SERVICES FOR </t>
    </r>
    <r>
      <rPr>
        <i/>
        <sz val="14"/>
        <rFont val="Calibri"/>
        <family val="2"/>
        <scheme val="minor"/>
      </rPr>
      <t xml:space="preserve">FUNDS FOR YOU </t>
    </r>
  </si>
  <si>
    <t>TOTALS</t>
  </si>
  <si>
    <t xml:space="preserve">Was Need(s) Met with FFY </t>
  </si>
  <si>
    <t>Dental</t>
  </si>
  <si>
    <t>YES</t>
  </si>
  <si>
    <t>NO</t>
  </si>
  <si>
    <t>Vision</t>
  </si>
  <si>
    <t xml:space="preserve">Partially Met </t>
  </si>
  <si>
    <t>Adaptive Equipment</t>
  </si>
  <si>
    <t>Set-Up</t>
  </si>
  <si>
    <r>
      <rPr>
        <b/>
        <i/>
        <sz val="14"/>
        <color theme="1"/>
        <rFont val="Calibri"/>
        <family val="2"/>
        <scheme val="minor"/>
      </rPr>
      <t>FUNDS FOR YOU</t>
    </r>
    <r>
      <rPr>
        <b/>
        <sz val="14"/>
        <color theme="1"/>
        <rFont val="Calibri"/>
        <family val="2"/>
        <scheme val="minor"/>
      </rPr>
      <t xml:space="preserve"> CREDITS AND DEBITS </t>
    </r>
  </si>
  <si>
    <r>
      <t xml:space="preserve"># OF </t>
    </r>
    <r>
      <rPr>
        <b/>
        <i/>
        <sz val="14"/>
        <color theme="1"/>
        <rFont val="Calibri"/>
        <family val="2"/>
        <scheme val="minor"/>
      </rPr>
      <t>"FUNDS FOR YOU"</t>
    </r>
    <r>
      <rPr>
        <b/>
        <sz val="14"/>
        <color theme="1"/>
        <rFont val="Calibri"/>
        <family val="2"/>
        <scheme val="minor"/>
      </rPr>
      <t xml:space="preserve"> REQUEST RECEIVED: </t>
    </r>
  </si>
  <si>
    <t>AMOUNT OF FUNDS REQUESTED</t>
  </si>
  <si>
    <t># OF NEW APPLICANTS:</t>
  </si>
  <si>
    <t xml:space="preserve">FAMILY CONTRIBUTIONS </t>
  </si>
  <si>
    <t># OF REQUEST APPROVED:</t>
  </si>
  <si>
    <t>ADDITIONAL FUNDS GENERATED</t>
  </si>
  <si>
    <t># OF REQUEST DENIED</t>
  </si>
  <si>
    <t xml:space="preserve">FUNDS RETURNED BY INDIVIDUALS </t>
  </si>
  <si>
    <t># of FUNDS FOR YOU REQUEST CLOSED</t>
  </si>
  <si>
    <t>TOTAL FFY</t>
  </si>
  <si>
    <t>AMOUNT OF FUNDS DENIED</t>
  </si>
  <si>
    <t>TOTAL FUNDS FOR YOU APPROVED</t>
  </si>
  <si>
    <t xml:space="preserve">TAB - NEUROPSYCHOLOGICAL EVALUATIONS </t>
  </si>
  <si>
    <t xml:space="preserve">NEUROPSYCHOLOGICAL EVALUATIONS </t>
  </si>
  <si>
    <t xml:space="preserve">Referred for Resource Coordination </t>
  </si>
  <si>
    <t>DATE EVALUATION COMPLETED</t>
  </si>
  <si>
    <t>Neuropsychological Screenings and Evaluations</t>
  </si>
  <si>
    <t>Number of Neuropsychological Screenings and Evaluations Completed</t>
  </si>
  <si>
    <t>Ages 12 and under</t>
  </si>
  <si>
    <t>Ages 13-17</t>
  </si>
  <si>
    <t>African American</t>
  </si>
  <si>
    <t>Ages 18-20</t>
  </si>
  <si>
    <t>More than One Race</t>
  </si>
  <si>
    <t>Ages 21-24</t>
  </si>
  <si>
    <t>Unknown</t>
  </si>
  <si>
    <t>American Indian - Alaska Native</t>
  </si>
  <si>
    <t>Native Hawaiian Other Pacific Islander</t>
  </si>
  <si>
    <t xml:space="preserve">Ages 75 and over </t>
  </si>
  <si>
    <t>Hispanic - Latino</t>
  </si>
  <si>
    <t>TOTAL EVALS</t>
  </si>
  <si>
    <t xml:space="preserve">TAB - TRAINING AND TECHNICAL ASSISTANCE (TA) </t>
  </si>
  <si>
    <t xml:space="preserve">Training and Technical Assistance </t>
  </si>
  <si>
    <t>TOTAL                   MEETINGS</t>
  </si>
  <si>
    <t>TOTAL ATTENDING</t>
  </si>
  <si>
    <t xml:space="preserve">Technical Assistance </t>
  </si>
  <si>
    <t xml:space="preserve">TAB - PUBLIC MEETINGS </t>
  </si>
  <si>
    <t>Public Meetings Held</t>
  </si>
  <si>
    <t>TOTAL PARTICIPANTS</t>
  </si>
  <si>
    <t>Congressional District 1</t>
  </si>
  <si>
    <t>Congressional District 2</t>
  </si>
  <si>
    <t>Congressional District 3</t>
  </si>
  <si>
    <t>I DD Waiver</t>
  </si>
  <si>
    <t xml:space="preserve">COUNTY </t>
  </si>
  <si>
    <t>GENDER</t>
  </si>
  <si>
    <t>Aug</t>
  </si>
  <si>
    <t>Medicare</t>
  </si>
  <si>
    <t>African American /Black</t>
  </si>
  <si>
    <t>Sept</t>
  </si>
  <si>
    <t xml:space="preserve">Medicaid </t>
  </si>
  <si>
    <t>American Indian  / Alaska Native</t>
  </si>
  <si>
    <t>Oct</t>
  </si>
  <si>
    <t>Nov</t>
  </si>
  <si>
    <t xml:space="preserve">White / Caucasian </t>
  </si>
  <si>
    <t>Dec</t>
  </si>
  <si>
    <t>More than one race reported</t>
  </si>
  <si>
    <t>Jan</t>
  </si>
  <si>
    <t>Native Hawaiian/Pacific Islander</t>
  </si>
  <si>
    <t>YES NO</t>
  </si>
  <si>
    <t>Feb</t>
  </si>
  <si>
    <t>Mar</t>
  </si>
  <si>
    <t>Apr</t>
  </si>
  <si>
    <t>Hispanic Latino Origin</t>
  </si>
  <si>
    <t>N/A</t>
  </si>
  <si>
    <t>May</t>
  </si>
  <si>
    <t xml:space="preserve">Hispanic-Latino </t>
  </si>
  <si>
    <t>INSURANCE</t>
  </si>
  <si>
    <t>I/DD Waiver</t>
  </si>
  <si>
    <t>BBHHF</t>
  </si>
  <si>
    <t>Medicaid Only</t>
  </si>
  <si>
    <t>Both Medicaid &amp; Non Medicaid Sources</t>
  </si>
  <si>
    <t>Training Attended</t>
  </si>
  <si>
    <t>Private Residence</t>
  </si>
  <si>
    <t>Other Insurance</t>
  </si>
  <si>
    <t xml:space="preserve">Start Up </t>
  </si>
  <si>
    <t>Training Provided</t>
  </si>
  <si>
    <t>Foster Home (under 18)</t>
  </si>
  <si>
    <t>Other</t>
  </si>
  <si>
    <t>Cross Planning Initiative</t>
  </si>
  <si>
    <t>Residential Care</t>
  </si>
  <si>
    <t>Outreach Activity</t>
  </si>
  <si>
    <t>Crisis Residence</t>
  </si>
  <si>
    <t>Other (List)</t>
  </si>
  <si>
    <t>Children's Residential Treatment</t>
  </si>
  <si>
    <t>Institutional Setting</t>
  </si>
  <si>
    <t>YES - RC</t>
  </si>
  <si>
    <t>Congressional Districts</t>
  </si>
  <si>
    <t xml:space="preserve">WV Legislative Districts </t>
  </si>
  <si>
    <t>Jail/Correctional Facility</t>
  </si>
  <si>
    <t>YES  - FFY</t>
  </si>
  <si>
    <t>Homeless</t>
  </si>
  <si>
    <t xml:space="preserve">YES  - Both RC &amp; FFY </t>
  </si>
  <si>
    <t>Natural Home</t>
  </si>
  <si>
    <t>Technical Assistance</t>
  </si>
  <si>
    <t>I/DD Waiver ISS</t>
  </si>
  <si>
    <t>I/DD Waiver GH</t>
  </si>
  <si>
    <t>ICF -I/DD GH</t>
  </si>
  <si>
    <t>Specialized Family Care Home</t>
  </si>
  <si>
    <t>resource coordination provided</t>
  </si>
  <si>
    <t xml:space="preserve">PBS provided </t>
  </si>
  <si>
    <t>admitted to Crisis Unit</t>
  </si>
  <si>
    <t>wait listed for Crisis Unit</t>
  </si>
  <si>
    <t xml:space="preserve">denied not eligible for Crisis Unit (explain in notes) </t>
  </si>
  <si>
    <t>denied no openings in Crisis Unit</t>
  </si>
  <si>
    <t>denied other (list reason)</t>
  </si>
  <si>
    <t>Resource Coordination</t>
  </si>
  <si>
    <t>PBS</t>
  </si>
  <si>
    <t>Crisis Unit</t>
  </si>
  <si>
    <t>Crisis Unit with Psychiatric Coverage</t>
  </si>
  <si>
    <t xml:space="preserve">admitted for resource coordination </t>
  </si>
  <si>
    <t xml:space="preserve">admitted for PBS Services </t>
  </si>
  <si>
    <t>admitted to Crisis Unit with psychiatric Involvement</t>
  </si>
  <si>
    <t>FY</t>
  </si>
  <si>
    <t>2019 08 08</t>
  </si>
  <si>
    <t>FINAL</t>
  </si>
  <si>
    <t>AM16481</t>
  </si>
  <si>
    <t>MG</t>
  </si>
  <si>
    <t xml:space="preserve">TBI, </t>
  </si>
  <si>
    <t xml:space="preserve">Mailed updated ROI waiting on response from TBI Client. </t>
  </si>
  <si>
    <t>JN</t>
  </si>
  <si>
    <t>AM16488</t>
  </si>
  <si>
    <t>TBI, Home Modifications</t>
  </si>
  <si>
    <t xml:space="preserve">CLSP, ACIL, </t>
  </si>
  <si>
    <t xml:space="preserve">Created a resource packet with contractors and resources for home modifications to build a ramp. </t>
  </si>
  <si>
    <t>AM16492</t>
  </si>
  <si>
    <t>ED</t>
  </si>
  <si>
    <t>TBI</t>
  </si>
  <si>
    <t xml:space="preserve">Waiting for return call regarding services </t>
  </si>
  <si>
    <t>AM16514</t>
  </si>
  <si>
    <t>DCH</t>
  </si>
  <si>
    <t>AM16526</t>
  </si>
  <si>
    <t>CM</t>
  </si>
  <si>
    <t xml:space="preserve">TBI, Homelessness, denied IDDW,  guardianship, psychiatric issues </t>
  </si>
  <si>
    <t>Legal Aid</t>
  </si>
  <si>
    <t xml:space="preserve">IDDW-TBI </t>
  </si>
  <si>
    <t>AM16540</t>
  </si>
  <si>
    <t>RS</t>
  </si>
  <si>
    <t xml:space="preserve">TBI, Health issues </t>
  </si>
  <si>
    <t>AM16543</t>
  </si>
  <si>
    <t>CW</t>
  </si>
  <si>
    <t xml:space="preserve">TBI, Glasses, dentures </t>
  </si>
  <si>
    <t>AM16546</t>
  </si>
  <si>
    <t>BB</t>
  </si>
  <si>
    <t>AM16551</t>
  </si>
  <si>
    <t>MW</t>
  </si>
  <si>
    <t xml:space="preserve">TBI, Personal Training </t>
  </si>
  <si>
    <t>AM16577</t>
  </si>
  <si>
    <t xml:space="preserve">TBI, Long Term Housing, </t>
  </si>
  <si>
    <t>Ombudsman</t>
  </si>
  <si>
    <t>Council on Aging/ Legal Aid</t>
  </si>
  <si>
    <t>AM16582</t>
  </si>
  <si>
    <t>TW</t>
  </si>
  <si>
    <t>TBI, MH, Memory Issues, Behavioral Concerns, Accomodations</t>
  </si>
  <si>
    <t>Contractors in Mingo County</t>
  </si>
  <si>
    <t>Olmstead, USDA Home Repair Loan, TBI Support Group</t>
  </si>
  <si>
    <t>AM16585</t>
  </si>
  <si>
    <t>BC</t>
  </si>
  <si>
    <t>AM16602</t>
  </si>
  <si>
    <t>DS</t>
  </si>
  <si>
    <t xml:space="preserve">TBI, Access to Medical Equipment, </t>
  </si>
  <si>
    <t>JI</t>
  </si>
  <si>
    <t>AM16615</t>
  </si>
  <si>
    <t>Health Right</t>
  </si>
  <si>
    <t xml:space="preserve">Medcaid Dental Offices </t>
  </si>
  <si>
    <t>AM16616</t>
  </si>
  <si>
    <t>WG</t>
  </si>
  <si>
    <t xml:space="preserve">TBI, Housing Assistance </t>
  </si>
  <si>
    <t>ACIL</t>
  </si>
  <si>
    <t>HUD</t>
  </si>
  <si>
    <t>AM16632</t>
  </si>
  <si>
    <t>KW</t>
  </si>
  <si>
    <t xml:space="preserve">WS </t>
  </si>
  <si>
    <t>AM16636</t>
  </si>
  <si>
    <t xml:space="preserve">TBI, Cardiac Health Issues </t>
  </si>
  <si>
    <t>EB</t>
  </si>
  <si>
    <t>AM16639</t>
  </si>
  <si>
    <t xml:space="preserve">TBI </t>
  </si>
  <si>
    <t>BD</t>
  </si>
  <si>
    <t>AM16659</t>
  </si>
  <si>
    <t xml:space="preserve">TBI, Anxiety, Depression, </t>
  </si>
  <si>
    <t>Family Care Dentistry</t>
  </si>
  <si>
    <t>AM16682</t>
  </si>
  <si>
    <t>MF</t>
  </si>
  <si>
    <t xml:space="preserve">TBI, Vision Services </t>
  </si>
  <si>
    <t>ME16687</t>
  </si>
  <si>
    <t>CR</t>
  </si>
  <si>
    <t xml:space="preserve">ME has been trying to get ahold of CR. </t>
  </si>
  <si>
    <t>BS</t>
  </si>
  <si>
    <t>AM16700</t>
  </si>
  <si>
    <t>TBI,Communication, PT</t>
  </si>
  <si>
    <t>AM16716</t>
  </si>
  <si>
    <t>EH</t>
  </si>
  <si>
    <t>SH</t>
  </si>
  <si>
    <t>AM16726</t>
  </si>
  <si>
    <t xml:space="preserve">TBI, Transportation, Housing Services </t>
  </si>
  <si>
    <t>AM16885</t>
  </si>
  <si>
    <t>IHJ</t>
  </si>
  <si>
    <t>TBI, Transportation</t>
  </si>
  <si>
    <t>ME16904</t>
  </si>
  <si>
    <t>AF</t>
  </si>
  <si>
    <t>WL</t>
  </si>
  <si>
    <t>AM16905</t>
  </si>
  <si>
    <t>TBI, Housing Modifications</t>
  </si>
  <si>
    <t>USDA Home Repair Loans</t>
  </si>
  <si>
    <t>Contractors for Mingo</t>
  </si>
  <si>
    <t>RAW</t>
  </si>
  <si>
    <t>AM16908</t>
  </si>
  <si>
    <t>TBI, Hearing Support</t>
  </si>
  <si>
    <t>ME16969</t>
  </si>
  <si>
    <t>SD</t>
  </si>
  <si>
    <t>CP17237</t>
  </si>
  <si>
    <t>BT</t>
  </si>
  <si>
    <t xml:space="preserve">TBI, Neuropsych Evaluation </t>
  </si>
  <si>
    <t>CP17288</t>
  </si>
  <si>
    <t>CD</t>
  </si>
  <si>
    <t xml:space="preserve">TBI, SUD, </t>
  </si>
  <si>
    <t>CH</t>
  </si>
  <si>
    <t>SL17416</t>
  </si>
  <si>
    <t>HT</t>
  </si>
  <si>
    <t>SL17419</t>
  </si>
  <si>
    <t>CF</t>
  </si>
  <si>
    <t>SL17424</t>
  </si>
  <si>
    <t>TBI, Financial Assistance, SSDI</t>
  </si>
  <si>
    <t>TBI BIG Support Group</t>
  </si>
  <si>
    <t>JT</t>
  </si>
  <si>
    <t>CB</t>
  </si>
  <si>
    <t>ME33015</t>
  </si>
  <si>
    <t>GA</t>
  </si>
  <si>
    <t>TBI, Essential Needs, SUD</t>
  </si>
  <si>
    <t xml:space="preserve">Neuropsych </t>
  </si>
  <si>
    <t>TH</t>
  </si>
  <si>
    <t>AM33674</t>
  </si>
  <si>
    <t xml:space="preserve">Sent letter and has been calling regarding services </t>
  </si>
  <si>
    <t>AM33675</t>
  </si>
  <si>
    <t>RR</t>
  </si>
  <si>
    <t>AM33678</t>
  </si>
  <si>
    <t>SM</t>
  </si>
  <si>
    <t>AM34166</t>
  </si>
  <si>
    <t>SE</t>
  </si>
  <si>
    <t>Olmstead</t>
  </si>
  <si>
    <t>MTSTCIL/CLSP</t>
  </si>
  <si>
    <t xml:space="preserve">TBI, Housing Assistance, In-Home Supports </t>
  </si>
  <si>
    <t>AM34938</t>
  </si>
  <si>
    <t>KM</t>
  </si>
  <si>
    <t>DRS</t>
  </si>
  <si>
    <t>TBI, Transportation, Employment</t>
  </si>
  <si>
    <t xml:space="preserve">Workforce WV </t>
  </si>
  <si>
    <t>MM</t>
  </si>
  <si>
    <t>SL34958</t>
  </si>
  <si>
    <t>AM35158</t>
  </si>
  <si>
    <t>JH</t>
  </si>
  <si>
    <t xml:space="preserve">TBI, In Home Supports </t>
  </si>
  <si>
    <t xml:space="preserve">TBI, Utility Assistance </t>
  </si>
  <si>
    <t>Utility Assistance with DHHR</t>
  </si>
  <si>
    <t>AM35176</t>
  </si>
  <si>
    <t>SV</t>
  </si>
  <si>
    <t xml:space="preserve">TBI, Memory Issues, </t>
  </si>
  <si>
    <t>Mountain Heart</t>
  </si>
  <si>
    <t>MTSCIL</t>
  </si>
  <si>
    <t xml:space="preserve">Also referred to consider a neuropsych evaluation </t>
  </si>
  <si>
    <t>CC</t>
  </si>
  <si>
    <t xml:space="preserve">TBI, MH,transportation </t>
  </si>
  <si>
    <t>SL35244</t>
  </si>
  <si>
    <t>PS</t>
  </si>
  <si>
    <t>TBI, Housing</t>
  </si>
  <si>
    <t>SL35245</t>
  </si>
  <si>
    <t>ST</t>
  </si>
  <si>
    <t xml:space="preserve">TBI BIG Support Group </t>
  </si>
  <si>
    <t>MS</t>
  </si>
  <si>
    <t>AM35477</t>
  </si>
  <si>
    <t xml:space="preserve">TBI, Employment, Neuropsych Eval </t>
  </si>
  <si>
    <t>ME35487</t>
  </si>
  <si>
    <t>CP35509</t>
  </si>
  <si>
    <t>KHD</t>
  </si>
  <si>
    <t>AM35853</t>
  </si>
  <si>
    <t>AH</t>
  </si>
  <si>
    <t xml:space="preserve">TBI,IPV, Vision, Dental </t>
  </si>
  <si>
    <t>RMJ</t>
  </si>
  <si>
    <t>SL35927</t>
  </si>
  <si>
    <t>LR</t>
  </si>
  <si>
    <t xml:space="preserve">TBI, Transportation, Neuropsych, Home Modifications  </t>
  </si>
  <si>
    <t>AM35967</t>
  </si>
  <si>
    <t xml:space="preserve">TBI, SUD, Housing, </t>
  </si>
  <si>
    <t>RD</t>
  </si>
  <si>
    <t>CP36000</t>
  </si>
  <si>
    <t xml:space="preserve">TBI, Vision Services, dental </t>
  </si>
  <si>
    <t>TR</t>
  </si>
  <si>
    <t>ME36052</t>
  </si>
  <si>
    <t xml:space="preserve">TBI, Vision, Transition Assistance </t>
  </si>
  <si>
    <t>DD</t>
  </si>
  <si>
    <t xml:space="preserve">TBI, Hearing Assistance, Memory Isues </t>
  </si>
  <si>
    <t>ME36062</t>
  </si>
  <si>
    <t>TBI, dentures, Therepeutic Services</t>
  </si>
  <si>
    <t>SL36078</t>
  </si>
  <si>
    <t>LJ</t>
  </si>
  <si>
    <t xml:space="preserve">New Referral </t>
  </si>
  <si>
    <t>ME36080</t>
  </si>
  <si>
    <t>CG</t>
  </si>
  <si>
    <t>TBI, Vision, Technology Access, Dental, Physical Acitivity</t>
  </si>
  <si>
    <t>DA</t>
  </si>
  <si>
    <t>TBI, Technology, Assistive Technology</t>
  </si>
  <si>
    <t>TV</t>
  </si>
  <si>
    <t>ME35763</t>
  </si>
  <si>
    <t xml:space="preserve">TBI, Neurospych Eval </t>
  </si>
  <si>
    <t xml:space="preserve">MP </t>
  </si>
  <si>
    <t>Neuropsuch Evaluaton</t>
  </si>
  <si>
    <t>The summary page, shows that we provided resource coordination for a total of 64 individuals, but the TBI RC and FFY page has 63?</t>
  </si>
  <si>
    <t>FFY is showing that we connected 43 individuals to FFY, but we only connected 2 unduplicated individuals in July. Is this pulling from if we refer someone to FFY? </t>
  </si>
  <si>
    <t>I spent a lot time including more dates, and details regarding why individuals are seeking services. I listed them in column K on the TBI RC and FFY page. Not sure how to capture that data in this report, but it could be really insightful.</t>
  </si>
  <si>
    <t xml:space="preserve">pulling from RC and FUNDS FOR YOU tab; Column W </t>
  </si>
  <si>
    <t>&lt;12</t>
  </si>
  <si>
    <t>13-17</t>
  </si>
  <si>
    <t>18-20</t>
  </si>
  <si>
    <t>21-24</t>
  </si>
  <si>
    <t>25-44</t>
  </si>
  <si>
    <t>65-74</t>
  </si>
  <si>
    <t>75&gt;</t>
  </si>
  <si>
    <t>45-64</t>
  </si>
  <si>
    <r>
      <t>FUNDS FOR YOU AT BEGINNING AT FISCAL YEAR:</t>
    </r>
    <r>
      <rPr>
        <b/>
        <sz val="8"/>
        <color theme="0"/>
        <rFont val="Calibri"/>
        <family val="2"/>
        <scheme val="minor"/>
      </rPr>
      <t xml:space="preserve">  (entered by grantee) </t>
    </r>
  </si>
  <si>
    <t>WV Bureau for Behavioral Health and Health Facilities - Traumatic Brain Injury (TBI) Program V20210501</t>
  </si>
  <si>
    <t>Starting Resource Coordination Services minus discharges</t>
  </si>
  <si>
    <t>`</t>
  </si>
  <si>
    <t>FY 2023</t>
  </si>
  <si>
    <t xml:space="preserve">59:  Client SL36078 - did not begin  program </t>
  </si>
  <si>
    <t xml:space="preserve">FUNDS FOR YOU (FFY)  </t>
  </si>
  <si>
    <r>
      <t xml:space="preserve">Fiscal Year 2022 (July 1, 2021- June 30, 2022) </t>
    </r>
    <r>
      <rPr>
        <b/>
        <i/>
        <sz val="10"/>
        <color theme="1"/>
        <rFont val="Calibri"/>
        <family val="2"/>
        <scheme val="minor"/>
      </rPr>
      <t>includes data elements from previous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</si>
</sst>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_(* \(#,##0.00\);_(* \-??_);_(@_)"/>
    <numFmt numFmtId="165" formatCode="_(\$* #,##0.00_);_(\$* \(#,##0.00\);_(\$* \-??_);_(@_)"/>
    <numFmt numFmtId="166" formatCode="\$0.00"/>
    <numFmt numFmtId="167" formatCode="&quot;$&quot;#,##0.00"/>
  </numFmts>
  <fonts count="104"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9"/>
      <color theme="9" tint="-0.499984740745262"/>
      <name val="Calibri"/>
      <family val="2"/>
      <scheme val="minor"/>
    </font>
    <font>
      <b/>
      <sz val="8"/>
      <color theme="1"/>
      <name val="Calibri"/>
      <family val="2"/>
      <scheme val="minor"/>
    </font>
    <font>
      <sz val="10"/>
      <color indexed="8"/>
      <name val="Arial"/>
      <family val="2"/>
    </font>
    <font>
      <sz val="10"/>
      <name val="Arial"/>
      <family val="2"/>
    </font>
    <font>
      <u/>
      <sz val="11"/>
      <color theme="10"/>
      <name val="Calibri"/>
      <family val="2"/>
    </font>
    <font>
      <sz val="11"/>
      <color indexed="8"/>
      <name val="Calibri"/>
      <family val="2"/>
    </font>
    <font>
      <u/>
      <sz val="11"/>
      <color indexed="12"/>
      <name val="Calibri"/>
      <family val="2"/>
    </font>
    <font>
      <u/>
      <sz val="11"/>
      <color indexed="12"/>
      <name val="Arial"/>
      <family val="2"/>
    </font>
    <font>
      <b/>
      <sz val="9"/>
      <color rgb="FFFF0000"/>
      <name val="Calibri"/>
      <family val="2"/>
      <scheme val="minor"/>
    </font>
    <font>
      <sz val="11"/>
      <color theme="9" tint="-0.499984740745262"/>
      <name val="Calibri"/>
      <family val="2"/>
      <scheme val="minor"/>
    </font>
    <font>
      <b/>
      <sz val="14"/>
      <color theme="1"/>
      <name val="Calibri"/>
      <family val="2"/>
      <scheme val="minor"/>
    </font>
    <font>
      <b/>
      <sz val="16"/>
      <color theme="0"/>
      <name val="Calibri"/>
      <family val="2"/>
      <scheme val="minor"/>
    </font>
    <font>
      <b/>
      <sz val="9"/>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b/>
      <sz val="11"/>
      <name val="Calibri"/>
      <family val="2"/>
      <scheme val="minor"/>
    </font>
    <font>
      <sz val="12"/>
      <color theme="1"/>
      <name val="Calibri"/>
      <family val="2"/>
      <scheme val="minor"/>
    </font>
    <font>
      <sz val="11"/>
      <name val="Calibri"/>
      <family val="2"/>
      <scheme val="minor"/>
    </font>
    <font>
      <b/>
      <sz val="11"/>
      <color theme="0"/>
      <name val="Calibri"/>
      <family val="2"/>
      <scheme val="minor"/>
    </font>
    <font>
      <b/>
      <sz val="12"/>
      <color theme="1"/>
      <name val="Calibri"/>
      <family val="2"/>
      <scheme val="minor"/>
    </font>
    <font>
      <sz val="10"/>
      <color rgb="FFFF0000"/>
      <name val="Calibri"/>
      <family val="2"/>
      <scheme val="minor"/>
    </font>
    <font>
      <b/>
      <sz val="14"/>
      <color theme="0"/>
      <name val="Calibri"/>
      <family val="2"/>
      <scheme val="minor"/>
    </font>
    <font>
      <b/>
      <sz val="11"/>
      <color theme="9" tint="0.59999389629810485"/>
      <name val="Calibri"/>
      <family val="2"/>
      <scheme val="minor"/>
    </font>
    <font>
      <sz val="16"/>
      <name val="Calibri"/>
      <family val="2"/>
      <scheme val="minor"/>
    </font>
    <font>
      <sz val="16"/>
      <color theme="1"/>
      <name val="Calibri"/>
      <family val="2"/>
      <scheme val="minor"/>
    </font>
    <font>
      <b/>
      <sz val="12"/>
      <name val="Calibri"/>
      <family val="2"/>
      <scheme val="minor"/>
    </font>
    <font>
      <b/>
      <sz val="16"/>
      <name val="Calibri"/>
      <family val="2"/>
      <scheme val="minor"/>
    </font>
    <font>
      <b/>
      <sz val="16"/>
      <color theme="1"/>
      <name val="Calibri"/>
      <family val="2"/>
      <scheme val="minor"/>
    </font>
    <font>
      <sz val="9"/>
      <color theme="1"/>
      <name val="Calibri"/>
      <family val="2"/>
      <scheme val="minor"/>
    </font>
    <font>
      <b/>
      <sz val="14"/>
      <name val="Calibri"/>
      <family val="2"/>
      <scheme val="minor"/>
    </font>
    <font>
      <b/>
      <sz val="18"/>
      <name val="Calibri"/>
      <family val="2"/>
      <scheme val="minor"/>
    </font>
    <font>
      <sz val="11"/>
      <color theme="0"/>
      <name val="Calibri"/>
      <family val="2"/>
      <scheme val="minor"/>
    </font>
    <font>
      <b/>
      <sz val="14"/>
      <color theme="9" tint="-0.499984740745262"/>
      <name val="Calibri"/>
      <family val="2"/>
      <scheme val="minor"/>
    </font>
    <font>
      <b/>
      <sz val="11"/>
      <color rgb="FFFF0000"/>
      <name val="Calibri"/>
      <family val="2"/>
      <scheme val="minor"/>
    </font>
    <font>
      <b/>
      <sz val="11"/>
      <color theme="9" tint="-0.499984740745262"/>
      <name val="Calibri"/>
      <family val="2"/>
      <scheme val="minor"/>
    </font>
    <font>
      <sz val="8"/>
      <color theme="0"/>
      <name val="Calibri"/>
      <family val="2"/>
      <scheme val="minor"/>
    </font>
    <font>
      <sz val="8"/>
      <color theme="9" tint="-0.499984740745262"/>
      <name val="Calibri"/>
      <family val="2"/>
      <scheme val="minor"/>
    </font>
    <font>
      <b/>
      <sz val="10"/>
      <color rgb="FFFF0000"/>
      <name val="Calibri"/>
      <family val="2"/>
      <scheme val="minor"/>
    </font>
    <font>
      <b/>
      <sz val="26"/>
      <color theme="1"/>
      <name val="Calibri"/>
      <family val="2"/>
      <scheme val="minor"/>
    </font>
    <font>
      <b/>
      <sz val="22"/>
      <color theme="1"/>
      <name val="Calibri"/>
      <family val="2"/>
      <scheme val="minor"/>
    </font>
    <font>
      <b/>
      <sz val="20"/>
      <color theme="1"/>
      <name val="Calibri"/>
      <family val="2"/>
      <scheme val="minor"/>
    </font>
    <font>
      <b/>
      <sz val="14"/>
      <color rgb="FFFF0000"/>
      <name val="Calibri"/>
      <family val="2"/>
      <scheme val="minor"/>
    </font>
    <font>
      <b/>
      <sz val="18"/>
      <color theme="0"/>
      <name val="Calibri"/>
      <family val="2"/>
      <scheme val="minor"/>
    </font>
    <font>
      <b/>
      <i/>
      <sz val="9"/>
      <color rgb="FF0070C0"/>
      <name val="Calibri"/>
      <family val="2"/>
      <scheme val="minor"/>
    </font>
    <font>
      <sz val="11"/>
      <color rgb="FF0070C0"/>
      <name val="Calibri"/>
      <family val="2"/>
      <scheme val="minor"/>
    </font>
    <font>
      <b/>
      <sz val="11"/>
      <color rgb="FF0070C0"/>
      <name val="Calibri"/>
      <family val="2"/>
      <scheme val="minor"/>
    </font>
    <font>
      <sz val="14"/>
      <color theme="0"/>
      <name val="Calibri"/>
      <family val="2"/>
      <scheme val="minor"/>
    </font>
    <font>
      <b/>
      <sz val="12"/>
      <color theme="0"/>
      <name val="Calibri"/>
      <family val="2"/>
      <scheme val="minor"/>
    </font>
    <font>
      <b/>
      <sz val="20"/>
      <color theme="0"/>
      <name val="Calibri"/>
      <family val="2"/>
      <scheme val="minor"/>
    </font>
    <font>
      <b/>
      <sz val="10"/>
      <color theme="9" tint="-0.499984740745262"/>
      <name val="Calibri"/>
      <family val="2"/>
      <scheme val="minor"/>
    </font>
    <font>
      <sz val="8"/>
      <color rgb="FFFF0000"/>
      <name val="Calibri"/>
      <family val="2"/>
      <scheme val="minor"/>
    </font>
    <font>
      <sz val="12"/>
      <color theme="9" tint="-0.499984740745262"/>
      <name val="Calibri"/>
      <family val="2"/>
      <scheme val="minor"/>
    </font>
    <font>
      <b/>
      <sz val="9"/>
      <color theme="9" tint="-0.499984740745262"/>
      <name val="Calibri"/>
      <family val="2"/>
      <scheme val="minor"/>
    </font>
    <font>
      <b/>
      <sz val="18"/>
      <color theme="1"/>
      <name val="Calibri"/>
      <family val="2"/>
      <scheme val="minor"/>
    </font>
    <font>
      <b/>
      <sz val="8"/>
      <name val="Calibri"/>
      <family val="2"/>
      <scheme val="minor"/>
    </font>
    <font>
      <b/>
      <sz val="8"/>
      <color theme="9" tint="-0.499984740745262"/>
      <name val="Calibri"/>
      <family val="2"/>
      <scheme val="minor"/>
    </font>
    <font>
      <b/>
      <sz val="11"/>
      <color rgb="FFFF0000"/>
      <name val="Calibri"/>
      <family val="2"/>
    </font>
    <font>
      <sz val="8"/>
      <name val="Calibri"/>
      <family val="2"/>
      <scheme val="minor"/>
    </font>
    <font>
      <sz val="11"/>
      <color theme="9" tint="-0.499984740745262"/>
      <name val="Calibri"/>
      <family val="2"/>
    </font>
    <font>
      <b/>
      <u val="double"/>
      <sz val="20"/>
      <color theme="0"/>
      <name val="Calibri"/>
      <family val="2"/>
      <scheme val="minor"/>
    </font>
    <font>
      <b/>
      <sz val="14"/>
      <color theme="0"/>
      <name val="Calibri"/>
      <family val="2"/>
    </font>
    <font>
      <b/>
      <u val="double"/>
      <sz val="14"/>
      <color theme="0"/>
      <name val="Calibri"/>
      <family val="2"/>
    </font>
    <font>
      <sz val="22"/>
      <color theme="1"/>
      <name val="Calibri"/>
      <family val="2"/>
      <scheme val="minor"/>
    </font>
    <font>
      <b/>
      <sz val="12"/>
      <color theme="9" tint="-0.499984740745262"/>
      <name val="Calibri"/>
      <family val="2"/>
      <scheme val="minor"/>
    </font>
    <font>
      <b/>
      <sz val="24"/>
      <color theme="0"/>
      <name val="Calibri"/>
      <family val="2"/>
      <scheme val="minor"/>
    </font>
    <font>
      <b/>
      <sz val="22"/>
      <color theme="0"/>
      <name val="Calibri"/>
      <family val="2"/>
      <scheme val="minor"/>
    </font>
    <font>
      <b/>
      <sz val="14"/>
      <color rgb="FF002060"/>
      <name val="Calibri"/>
      <family val="2"/>
      <scheme val="minor"/>
    </font>
    <font>
      <sz val="14"/>
      <name val="Calibri"/>
      <family val="2"/>
      <scheme val="minor"/>
    </font>
    <font>
      <b/>
      <i/>
      <sz val="14"/>
      <color theme="1"/>
      <name val="Calibri"/>
      <family val="2"/>
      <scheme val="minor"/>
    </font>
    <font>
      <i/>
      <sz val="11"/>
      <name val="Calibri"/>
      <family val="2"/>
      <scheme val="minor"/>
    </font>
    <font>
      <b/>
      <i/>
      <sz val="12"/>
      <color rgb="FF002060"/>
      <name val="Calibri"/>
      <family val="2"/>
      <scheme val="minor"/>
    </font>
    <font>
      <b/>
      <sz val="12"/>
      <color rgb="FFFF0000"/>
      <name val="Calibri"/>
      <family val="2"/>
      <scheme val="minor"/>
    </font>
    <font>
      <sz val="16"/>
      <color theme="0"/>
      <name val="Calibri"/>
      <family val="2"/>
      <scheme val="minor"/>
    </font>
    <font>
      <i/>
      <sz val="14"/>
      <name val="Calibri"/>
      <family val="2"/>
      <scheme val="minor"/>
    </font>
    <font>
      <b/>
      <sz val="9"/>
      <name val="Calibri"/>
      <family val="2"/>
      <scheme val="minor"/>
    </font>
    <font>
      <b/>
      <u/>
      <sz val="11"/>
      <color rgb="FFFF0000"/>
      <name val="Calibri"/>
      <family val="2"/>
      <scheme val="minor"/>
    </font>
    <font>
      <sz val="9"/>
      <name val="Calibri"/>
      <family val="2"/>
      <scheme val="minor"/>
    </font>
    <font>
      <sz val="22"/>
      <name val="Calibri"/>
      <family val="2"/>
      <scheme val="minor"/>
    </font>
    <font>
      <sz val="9"/>
      <color theme="0"/>
      <name val="Calibri"/>
      <family val="2"/>
      <scheme val="minor"/>
    </font>
    <font>
      <b/>
      <sz val="8"/>
      <color theme="0"/>
      <name val="Calibri"/>
      <family val="2"/>
      <scheme val="minor"/>
    </font>
    <font>
      <b/>
      <sz val="11"/>
      <color theme="0"/>
      <name val="Calibri"/>
      <family val="2"/>
    </font>
    <font>
      <b/>
      <sz val="10"/>
      <name val="Calibri"/>
      <family val="2"/>
      <scheme val="minor"/>
    </font>
    <font>
      <sz val="11"/>
      <color rgb="FF432003"/>
      <name val="Calibri"/>
      <family val="2"/>
      <scheme val="minor"/>
    </font>
    <font>
      <b/>
      <sz val="10"/>
      <color theme="0"/>
      <name val="Calibri"/>
      <family val="2"/>
      <scheme val="minor"/>
    </font>
    <font>
      <sz val="12"/>
      <color rgb="FFFF0000"/>
      <name val="Calibri"/>
      <family val="2"/>
      <scheme val="minor"/>
    </font>
    <font>
      <b/>
      <u/>
      <sz val="11"/>
      <color theme="9" tint="-0.499984740745262"/>
      <name val="Calibri"/>
      <family val="2"/>
      <scheme val="minor"/>
    </font>
    <font>
      <sz val="8"/>
      <name val="Calibri"/>
      <family val="2"/>
    </font>
    <font>
      <b/>
      <sz val="8"/>
      <color theme="9" tint="-0.249977111117893"/>
      <name val="Calibri"/>
      <family val="2"/>
      <scheme val="minor"/>
    </font>
    <font>
      <sz val="18"/>
      <name val="Calibri"/>
      <family val="2"/>
      <scheme val="minor"/>
    </font>
    <font>
      <b/>
      <u/>
      <sz val="18"/>
      <color theme="0"/>
      <name val="Calibri"/>
      <family val="2"/>
      <scheme val="minor"/>
    </font>
    <font>
      <u/>
      <sz val="18"/>
      <color theme="0"/>
      <name val="Calibri"/>
      <family val="2"/>
      <scheme val="minor"/>
    </font>
    <font>
      <u/>
      <sz val="11"/>
      <name val="Calibri"/>
      <family val="2"/>
      <scheme val="minor"/>
    </font>
    <font>
      <b/>
      <sz val="16"/>
      <color theme="5" tint="0.39997558519241921"/>
      <name val="Calibri"/>
      <family val="2"/>
      <scheme val="minor"/>
    </font>
    <font>
      <sz val="12"/>
      <color rgb="FF000000"/>
      <name val="Calibri"/>
      <family val="2"/>
      <scheme val="minor"/>
    </font>
    <font>
      <sz val="7.5"/>
      <color theme="0"/>
      <name val="Calibri"/>
      <family val="2"/>
      <scheme val="minor"/>
    </font>
    <font>
      <i/>
      <sz val="16"/>
      <name val="Calibri"/>
      <family val="2"/>
      <scheme val="minor"/>
    </font>
    <font>
      <i/>
      <u/>
      <sz val="18"/>
      <color theme="0"/>
      <name val="Calibri"/>
      <family val="2"/>
      <scheme val="minor"/>
    </font>
    <font>
      <b/>
      <sz val="8"/>
      <color rgb="FFFF0000"/>
      <name val="Calibri"/>
      <family val="2"/>
      <scheme val="minor"/>
    </font>
    <font>
      <b/>
      <i/>
      <sz val="10"/>
      <color theme="1"/>
      <name val="Calibri"/>
      <family val="2"/>
      <scheme val="minor"/>
    </font>
  </fonts>
  <fills count="6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rgb="FFFFFF00"/>
        <bgColor indexed="64"/>
      </patternFill>
    </fill>
    <fill>
      <patternFill patternType="solid">
        <fgColor rgb="FFFFFFCC"/>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FFFF99"/>
        <bgColor indexed="64"/>
      </patternFill>
    </fill>
    <fill>
      <patternFill patternType="solid">
        <fgColor rgb="FF002060"/>
        <bgColor indexed="64"/>
      </patternFill>
    </fill>
    <fill>
      <patternFill patternType="solid">
        <fgColor theme="6" tint="0.59999389629810485"/>
        <bgColor indexed="64"/>
      </patternFill>
    </fill>
    <fill>
      <patternFill patternType="solid">
        <fgColor theme="6" tint="-0.249977111117893"/>
        <bgColor indexed="64"/>
      </patternFill>
    </fill>
    <fill>
      <gradientFill degree="135">
        <stop position="0">
          <color theme="0"/>
        </stop>
        <stop position="1">
          <color theme="4"/>
        </stop>
      </gradientFill>
    </fill>
    <fill>
      <gradientFill degree="90">
        <stop position="0">
          <color theme="0"/>
        </stop>
        <stop position="1">
          <color theme="6" tint="-0.25098422193060094"/>
        </stop>
      </gradientFill>
    </fill>
    <fill>
      <patternFill patternType="solid">
        <fgColor theme="9" tint="0.59999389629810485"/>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2" tint="-0.499984740745262"/>
        <bgColor indexed="64"/>
      </patternFill>
    </fill>
    <fill>
      <patternFill patternType="solid">
        <fgColor theme="5" tint="-0.499984740745262"/>
        <bgColor indexed="64"/>
      </patternFill>
    </fill>
    <fill>
      <patternFill patternType="solid">
        <fgColor theme="2" tint="-0.749992370372631"/>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rgb="FFFFC000"/>
        <bgColor indexed="64"/>
      </patternFill>
    </fill>
    <fill>
      <patternFill patternType="solid">
        <fgColor rgb="FFFFF3CD"/>
        <bgColor indexed="64"/>
      </patternFill>
    </fill>
    <fill>
      <patternFill patternType="solid">
        <fgColor rgb="FFFFCC29"/>
        <bgColor indexed="64"/>
      </patternFill>
    </fill>
    <fill>
      <patternFill patternType="solid">
        <fgColor rgb="FFFFDD71"/>
        <bgColor indexed="64"/>
      </patternFill>
    </fill>
    <fill>
      <patternFill patternType="solid">
        <fgColor rgb="FFF4FEBA"/>
        <bgColor indexed="64"/>
      </patternFill>
    </fill>
    <fill>
      <patternFill patternType="solid">
        <fgColor rgb="FFFFFF85"/>
        <bgColor indexed="64"/>
      </patternFill>
    </fill>
    <fill>
      <patternFill patternType="solid">
        <fgColor theme="6" tint="0.79998168889431442"/>
        <bgColor indexed="64"/>
      </patternFill>
    </fill>
    <fill>
      <patternFill patternType="solid">
        <fgColor rgb="FF7030A0"/>
        <bgColor indexed="64"/>
      </patternFill>
    </fill>
    <fill>
      <patternFill patternType="solid">
        <fgColor rgb="FFFFC9FF"/>
        <bgColor indexed="64"/>
      </patternFill>
    </fill>
    <fill>
      <patternFill patternType="solid">
        <fgColor theme="7" tint="0.39997558519241921"/>
        <bgColor indexed="64"/>
      </patternFill>
    </fill>
    <fill>
      <patternFill patternType="solid">
        <fgColor rgb="FF173F49"/>
        <bgColor indexed="64"/>
      </patternFill>
    </fill>
    <fill>
      <gradientFill type="path" left="0.5" right="0.5" top="0.5" bottom="0.5">
        <stop position="0">
          <color theme="0"/>
        </stop>
        <stop position="1">
          <color theme="4"/>
        </stop>
      </gradientFill>
    </fill>
    <fill>
      <gradientFill type="path" left="0.5" right="0.5" top="0.5" bottom="0.5">
        <stop position="0">
          <color theme="0"/>
        </stop>
        <stop position="1">
          <color theme="6" tint="-0.25098422193060094"/>
        </stop>
      </gradientFill>
    </fill>
    <fill>
      <patternFill patternType="solid">
        <fgColor theme="7" tint="-0.249977111117893"/>
        <bgColor indexed="64"/>
      </patternFill>
    </fill>
    <fill>
      <patternFill patternType="solid">
        <fgColor theme="2" tint="-0.89999084444715716"/>
        <bgColor indexed="64"/>
      </pattern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6" tint="-0.49803155613879818"/>
        </stop>
      </gradientFill>
    </fill>
    <fill>
      <patternFill patternType="solid">
        <fgColor theme="6" tint="-0.499984740745262"/>
        <bgColor indexed="64"/>
      </patternFill>
    </fill>
    <fill>
      <patternFill patternType="solid">
        <fgColor rgb="FFB0C979"/>
        <bgColor indexed="64"/>
      </patternFill>
    </fill>
    <fill>
      <patternFill patternType="solid">
        <fgColor rgb="FFACA16C"/>
        <bgColor indexed="64"/>
      </patternFill>
    </fill>
    <fill>
      <patternFill patternType="solid">
        <fgColor theme="9" tint="0.39997558519241921"/>
        <bgColor indexed="64"/>
      </patternFill>
    </fill>
    <fill>
      <patternFill patternType="solid">
        <fgColor rgb="FFD4CFB4"/>
        <bgColor indexed="64"/>
      </patternFill>
    </fill>
    <fill>
      <patternFill patternType="solid">
        <fgColor theme="3" tint="-0.499984740745262"/>
        <bgColor indexed="64"/>
      </patternFill>
    </fill>
    <fill>
      <patternFill patternType="solid">
        <fgColor rgb="FFFF99CC"/>
        <bgColor indexed="64"/>
      </patternFill>
    </fill>
    <fill>
      <patternFill patternType="solid">
        <fgColor theme="4" tint="-0.499984740745262"/>
        <bgColor indexed="64"/>
      </patternFill>
    </fill>
    <fill>
      <patternFill patternType="solid">
        <fgColor rgb="FFA3975D"/>
        <bgColor indexed="64"/>
      </patternFill>
    </fill>
    <fill>
      <patternFill patternType="solid">
        <fgColor rgb="FFFFFF5B"/>
        <bgColor indexed="64"/>
      </patternFill>
    </fill>
    <fill>
      <patternFill patternType="solid">
        <fgColor rgb="FFAE3F3C"/>
        <bgColor indexed="64"/>
      </patternFill>
    </fill>
    <fill>
      <patternFill patternType="darkUp">
        <bgColor rgb="FFAE3F3C"/>
      </patternFill>
    </fill>
    <fill>
      <patternFill patternType="solid">
        <fgColor rgb="FFA7D6E3"/>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0" tint="-0.24994659260841701"/>
      </left>
      <right/>
      <top/>
      <bottom/>
      <diagonal/>
    </border>
    <border>
      <left/>
      <right style="thin">
        <color auto="1"/>
      </right>
      <top/>
      <bottom/>
      <diagonal/>
    </border>
    <border>
      <left style="thin">
        <color auto="1"/>
      </left>
      <right style="thin">
        <color auto="1"/>
      </right>
      <top style="thin">
        <color auto="1"/>
      </top>
      <bottom/>
      <diagonal/>
    </border>
    <border>
      <left style="double">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top style="double">
        <color auto="1"/>
      </top>
      <bottom/>
      <diagonal/>
    </border>
    <border>
      <left style="thin">
        <color auto="1"/>
      </left>
      <right style="thin">
        <color auto="1"/>
      </right>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auto="1"/>
      </top>
      <bottom style="double">
        <color auto="1"/>
      </bottom>
      <diagonal/>
    </border>
    <border>
      <left style="thin">
        <color auto="1"/>
      </left>
      <right/>
      <top style="thin">
        <color auto="1"/>
      </top>
      <bottom style="double">
        <color auto="1"/>
      </bottom>
      <diagonal/>
    </border>
    <border>
      <left style="double">
        <color auto="1"/>
      </left>
      <right/>
      <top style="double">
        <color auto="1"/>
      </top>
      <bottom/>
      <diagonal/>
    </border>
    <border>
      <left/>
      <right style="double">
        <color auto="1"/>
      </right>
      <top style="double">
        <color auto="1"/>
      </top>
      <bottom/>
      <diagonal/>
    </border>
    <border>
      <left/>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24994659260841701"/>
      </left>
      <right/>
      <top/>
      <bottom style="thin">
        <color auto="1"/>
      </bottom>
      <diagonal/>
    </border>
    <border>
      <left style="thin">
        <color auto="1"/>
      </left>
      <right/>
      <top style="thin">
        <color theme="0" tint="-0.499984740745262"/>
      </top>
      <bottom/>
      <diagonal/>
    </border>
    <border>
      <left style="thin">
        <color theme="0" tint="-0.24994659260841701"/>
      </left>
      <right/>
      <top style="thin">
        <color theme="0" tint="-0.499984740745262"/>
      </top>
      <bottom style="thin">
        <color auto="1"/>
      </bottom>
      <diagonal/>
    </border>
    <border>
      <left/>
      <right/>
      <top style="thin">
        <color theme="0" tint="-0.499984740745262"/>
      </top>
      <bottom style="thin">
        <color auto="1"/>
      </bottom>
      <diagonal/>
    </border>
    <border>
      <left style="thin">
        <color theme="0"/>
      </left>
      <right style="thin">
        <color theme="0"/>
      </right>
      <top style="thin">
        <color theme="0"/>
      </top>
      <bottom style="thin">
        <color theme="0"/>
      </bottom>
      <diagonal/>
    </border>
    <border>
      <left style="dashed">
        <color theme="0" tint="-0.499984740745262"/>
      </left>
      <right style="thin">
        <color theme="0" tint="-0.499984740745262"/>
      </right>
      <top style="thin">
        <color theme="0" tint="-0.499984740745262"/>
      </top>
      <bottom style="thin">
        <color theme="0" tint="-0.499984740745262"/>
      </bottom>
      <diagonal/>
    </border>
    <border>
      <left style="dashed">
        <color auto="1"/>
      </left>
      <right/>
      <top style="thin">
        <color auto="1"/>
      </top>
      <bottom style="thin">
        <color auto="1"/>
      </bottom>
      <diagonal/>
    </border>
    <border>
      <left style="dashed">
        <color auto="1"/>
      </left>
      <right style="thin">
        <color auto="1"/>
      </right>
      <top style="thin">
        <color auto="1"/>
      </top>
      <bottom style="thin">
        <color auto="1"/>
      </bottom>
      <diagonal/>
    </border>
    <border>
      <left style="dashed">
        <color auto="1"/>
      </left>
      <right style="thin">
        <color auto="1"/>
      </right>
      <top style="thin">
        <color auto="1"/>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style="dashed">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n">
        <color theme="0" tint="-0.499984740745262"/>
      </left>
      <right style="thick">
        <color auto="1"/>
      </right>
      <top style="thick">
        <color auto="1"/>
      </top>
      <bottom style="thick">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dashed">
        <color auto="1"/>
      </left>
      <right style="thick">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top style="thin">
        <color auto="1"/>
      </top>
      <bottom style="thin">
        <color theme="0" tint="-0.499984740745262"/>
      </bottom>
      <diagonal/>
    </border>
    <border>
      <left style="double">
        <color auto="1"/>
      </left>
      <right/>
      <top/>
      <bottom/>
      <diagonal/>
    </border>
  </borders>
  <cellStyleXfs count="247">
    <xf numFmtId="0" fontId="0" fillId="0" borderId="0"/>
    <xf numFmtId="0" fontId="8" fillId="0" borderId="0" applyNumberFormat="0" applyFill="0" applyBorder="0" applyAlignment="0" applyProtection="0">
      <alignment vertical="top"/>
      <protection locked="0"/>
    </xf>
    <xf numFmtId="0" fontId="7" fillId="0" borderId="0"/>
    <xf numFmtId="0" fontId="9" fillId="0" borderId="0"/>
    <xf numFmtId="0" fontId="7" fillId="0" borderId="0"/>
    <xf numFmtId="0" fontId="6" fillId="0" borderId="0">
      <alignment vertical="top"/>
    </xf>
    <xf numFmtId="164" fontId="9" fillId="0" borderId="0"/>
    <xf numFmtId="165" fontId="9" fillId="0" borderId="0"/>
    <xf numFmtId="0" fontId="10" fillId="0" borderId="0"/>
    <xf numFmtId="0" fontId="11"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9" fontId="9"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8" fillId="0" borderId="0" applyNumberFormat="0" applyFill="0" applyBorder="0" applyAlignment="0" applyProtection="0">
      <alignment vertical="top"/>
      <protection locked="0"/>
    </xf>
    <xf numFmtId="0" fontId="6" fillId="0" borderId="0"/>
    <xf numFmtId="44" fontId="1" fillId="0" borderId="0" applyFont="0" applyFill="0" applyBorder="0" applyAlignment="0" applyProtection="0"/>
  </cellStyleXfs>
  <cellXfs count="1077">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vertical="top"/>
    </xf>
    <xf numFmtId="0" fontId="4" fillId="0" borderId="0" xfId="0" applyFont="1" applyProtection="1">
      <protection locked="0"/>
    </xf>
    <xf numFmtId="0" fontId="17" fillId="0" borderId="0" xfId="0" applyFont="1"/>
    <xf numFmtId="0" fontId="18" fillId="0" borderId="7" xfId="0" applyFont="1" applyBorder="1"/>
    <xf numFmtId="0" fontId="18" fillId="0" borderId="8" xfId="0" applyFont="1" applyBorder="1"/>
    <xf numFmtId="0" fontId="18" fillId="0" borderId="0" xfId="0" applyFont="1"/>
    <xf numFmtId="0" fontId="18" fillId="0" borderId="13" xfId="0" applyFont="1" applyBorder="1"/>
    <xf numFmtId="0" fontId="2" fillId="0" borderId="0" xfId="0" applyFont="1"/>
    <xf numFmtId="0" fontId="0" fillId="0" borderId="0" xfId="0" applyAlignment="1">
      <alignment vertical="center" wrapText="1"/>
    </xf>
    <xf numFmtId="0" fontId="25" fillId="0" borderId="0" xfId="0" applyFont="1"/>
    <xf numFmtId="0" fontId="0" fillId="4" borderId="0" xfId="0" applyFill="1"/>
    <xf numFmtId="0" fontId="0" fillId="0" borderId="0" xfId="0" applyAlignment="1">
      <alignment horizontal="center" vertical="center"/>
    </xf>
    <xf numFmtId="0" fontId="22" fillId="0" borderId="0" xfId="0" applyFont="1" applyAlignment="1">
      <alignment horizontal="center" vertical="center"/>
    </xf>
    <xf numFmtId="0" fontId="0" fillId="0" borderId="0" xfId="0" applyAlignment="1">
      <alignment horizontal="left" vertical="center" wrapText="1"/>
    </xf>
    <xf numFmtId="0" fontId="36" fillId="17" borderId="1" xfId="0" applyFont="1" applyFill="1" applyBorder="1" applyAlignment="1">
      <alignment horizontal="center" vertical="center"/>
    </xf>
    <xf numFmtId="0" fontId="32" fillId="0" borderId="0" xfId="0" applyFont="1" applyAlignment="1">
      <alignment vertical="center" wrapText="1"/>
    </xf>
    <xf numFmtId="0" fontId="36" fillId="25" borderId="1" xfId="0" applyFont="1" applyFill="1" applyBorder="1"/>
    <xf numFmtId="0" fontId="36" fillId="24" borderId="1" xfId="0" applyFont="1" applyFill="1" applyBorder="1"/>
    <xf numFmtId="0" fontId="48" fillId="0" borderId="0" xfId="0" applyFont="1" applyAlignment="1">
      <alignment horizontal="left" vertical="center"/>
    </xf>
    <xf numFmtId="0" fontId="48" fillId="0" borderId="0" xfId="0" applyFont="1"/>
    <xf numFmtId="0" fontId="0" fillId="4" borderId="1" xfId="0" applyFill="1" applyBorder="1"/>
    <xf numFmtId="0" fontId="22" fillId="4" borderId="0" xfId="0" applyFont="1" applyFill="1" applyAlignment="1">
      <alignment horizontal="center" vertical="center"/>
    </xf>
    <xf numFmtId="0" fontId="19" fillId="4" borderId="0" xfId="0" applyFont="1" applyFill="1" applyAlignment="1">
      <alignment horizontal="center" vertical="center"/>
    </xf>
    <xf numFmtId="0" fontId="36" fillId="17" borderId="14" xfId="0" applyFont="1" applyFill="1" applyBorder="1" applyAlignment="1">
      <alignment horizontal="center" vertical="center"/>
    </xf>
    <xf numFmtId="0" fontId="36" fillId="17" borderId="1" xfId="0" applyFont="1" applyFill="1" applyBorder="1"/>
    <xf numFmtId="0" fontId="0" fillId="31" borderId="0" xfId="0" applyFill="1"/>
    <xf numFmtId="0" fontId="0" fillId="30" borderId="0" xfId="0" applyFill="1" applyAlignment="1">
      <alignment horizontal="center" vertical="center"/>
    </xf>
    <xf numFmtId="0" fontId="0" fillId="4" borderId="26" xfId="0" applyFill="1" applyBorder="1"/>
    <xf numFmtId="0" fontId="54" fillId="7" borderId="8" xfId="0" applyFont="1" applyFill="1" applyBorder="1" applyAlignment="1">
      <alignment horizontal="center" vertical="center" textRotation="90" wrapText="1"/>
    </xf>
    <xf numFmtId="0" fontId="54" fillId="2" borderId="8" xfId="0" applyFont="1" applyFill="1" applyBorder="1" applyAlignment="1">
      <alignment horizontal="center" vertical="center" textRotation="90" wrapText="1"/>
    </xf>
    <xf numFmtId="0" fontId="13" fillId="2" borderId="2" xfId="0" applyFont="1" applyFill="1" applyBorder="1" applyAlignment="1" applyProtection="1">
      <alignment horizontal="center" vertical="center" wrapText="1"/>
      <protection locked="0"/>
    </xf>
    <xf numFmtId="0" fontId="69" fillId="27" borderId="7" xfId="0" applyFont="1" applyFill="1" applyBorder="1" applyAlignment="1">
      <alignment horizontal="left" vertical="center"/>
    </xf>
    <xf numFmtId="0" fontId="69" fillId="27" borderId="8" xfId="0" applyFont="1" applyFill="1" applyBorder="1" applyAlignment="1">
      <alignment horizontal="left" vertical="center"/>
    </xf>
    <xf numFmtId="0" fontId="70" fillId="37" borderId="0" xfId="0" applyFont="1" applyFill="1" applyAlignment="1">
      <alignment horizontal="left" vertical="center"/>
    </xf>
    <xf numFmtId="0" fontId="15" fillId="0" borderId="0" xfId="0" applyFont="1" applyAlignment="1">
      <alignment horizontal="center" vertical="center" wrapText="1"/>
    </xf>
    <xf numFmtId="0" fontId="20" fillId="0" borderId="0" xfId="0" applyFont="1" applyAlignment="1">
      <alignment horizontal="left" wrapText="1"/>
    </xf>
    <xf numFmtId="0" fontId="20" fillId="0" borderId="0" xfId="0" applyFont="1" applyAlignment="1">
      <alignment horizontal="left" vertical="center" wrapText="1"/>
    </xf>
    <xf numFmtId="0" fontId="20" fillId="0" borderId="0" xfId="0" applyFont="1" applyAlignment="1">
      <alignment horizontal="right" vertical="center" wrapText="1"/>
    </xf>
    <xf numFmtId="0" fontId="14" fillId="0" borderId="0" xfId="0" applyFont="1" applyAlignment="1">
      <alignment horizontal="center" vertical="center"/>
    </xf>
    <xf numFmtId="0" fontId="21" fillId="0" borderId="0" xfId="0" applyFont="1" applyAlignment="1">
      <alignment horizontal="center" vertical="center"/>
    </xf>
    <xf numFmtId="0" fontId="32" fillId="0" borderId="0" xfId="0" applyFont="1"/>
    <xf numFmtId="0" fontId="0" fillId="0" borderId="0" xfId="0" applyAlignment="1">
      <alignment horizontal="center" vertical="center" wrapText="1"/>
    </xf>
    <xf numFmtId="0" fontId="32" fillId="0" borderId="0" xfId="0" applyFont="1" applyAlignment="1">
      <alignment horizontal="center" vertical="center" wrapText="1"/>
    </xf>
    <xf numFmtId="0" fontId="49" fillId="0" borderId="0" xfId="0" applyFont="1" applyAlignment="1">
      <alignment vertical="center" wrapText="1"/>
    </xf>
    <xf numFmtId="0" fontId="2" fillId="0" borderId="0" xfId="0" applyFont="1" applyAlignment="1">
      <alignment vertical="center" wrapText="1"/>
    </xf>
    <xf numFmtId="0" fontId="50" fillId="0" borderId="0" xfId="0" applyFont="1" applyAlignment="1">
      <alignment vertical="center" wrapText="1"/>
    </xf>
    <xf numFmtId="0" fontId="38" fillId="0" borderId="0" xfId="0" applyFont="1" applyAlignment="1">
      <alignment horizontal="left" vertical="center" wrapText="1"/>
    </xf>
    <xf numFmtId="0" fontId="50" fillId="0" borderId="0" xfId="0" applyFont="1" applyAlignment="1">
      <alignment horizontal="left" vertical="center" wrapText="1"/>
    </xf>
    <xf numFmtId="0" fontId="34" fillId="0" borderId="0" xfId="0" applyFont="1" applyAlignment="1">
      <alignment horizontal="left" vertical="center" wrapText="1"/>
    </xf>
    <xf numFmtId="0" fontId="46" fillId="0" borderId="0" xfId="0" applyFont="1" applyAlignment="1">
      <alignment horizontal="left" vertical="center" wrapText="1"/>
    </xf>
    <xf numFmtId="0" fontId="26" fillId="0" borderId="0" xfId="0" applyFont="1" applyAlignment="1">
      <alignment horizontal="right"/>
    </xf>
    <xf numFmtId="0" fontId="26" fillId="0" borderId="0" xfId="0" applyFont="1" applyAlignment="1">
      <alignment horizontal="center"/>
    </xf>
    <xf numFmtId="0" fontId="51" fillId="0" borderId="0" xfId="0" applyFont="1" applyAlignment="1">
      <alignment horizontal="right"/>
    </xf>
    <xf numFmtId="0" fontId="51" fillId="0" borderId="0" xfId="0" applyFont="1" applyAlignment="1">
      <alignment horizontal="center"/>
    </xf>
    <xf numFmtId="0" fontId="72" fillId="0" borderId="0" xfId="0" applyFont="1" applyAlignment="1">
      <alignment horizontal="center" vertical="center"/>
    </xf>
    <xf numFmtId="0" fontId="20" fillId="0" borderId="0" xfId="0" applyFont="1" applyAlignment="1">
      <alignment horizontal="center" vertical="center" wrapText="1"/>
    </xf>
    <xf numFmtId="0" fontId="22" fillId="0" borderId="0" xfId="0" applyFont="1" applyAlignment="1">
      <alignment vertical="center"/>
    </xf>
    <xf numFmtId="0" fontId="32" fillId="4" borderId="1" xfId="0" applyFont="1" applyFill="1" applyBorder="1"/>
    <xf numFmtId="0" fontId="2" fillId="0" borderId="0" xfId="0" applyFont="1" applyAlignment="1">
      <alignment horizontal="left" vertical="center" wrapText="1"/>
    </xf>
    <xf numFmtId="0" fontId="0" fillId="0" borderId="0" xfId="0" applyAlignment="1">
      <alignment horizontal="center"/>
    </xf>
    <xf numFmtId="0" fontId="36" fillId="17" borderId="1" xfId="0" applyFont="1" applyFill="1" applyBorder="1" applyAlignment="1">
      <alignment horizontal="center"/>
    </xf>
    <xf numFmtId="0" fontId="36" fillId="25" borderId="1" xfId="0" applyFont="1" applyFill="1" applyBorder="1" applyAlignment="1">
      <alignment horizontal="center"/>
    </xf>
    <xf numFmtId="0" fontId="34" fillId="0" borderId="0" xfId="0" applyFont="1" applyAlignment="1">
      <alignment horizontal="center" vertical="center"/>
    </xf>
    <xf numFmtId="0" fontId="34" fillId="0" borderId="0" xfId="0" applyFont="1" applyAlignment="1">
      <alignment horizontal="center" vertical="center" wrapText="1"/>
    </xf>
    <xf numFmtId="0" fontId="32" fillId="4" borderId="0" xfId="0" applyFont="1" applyFill="1"/>
    <xf numFmtId="0" fontId="0" fillId="28" borderId="0" xfId="0" applyFill="1"/>
    <xf numFmtId="0" fontId="70" fillId="37" borderId="6" xfId="0" applyFont="1" applyFill="1" applyBorder="1" applyAlignment="1">
      <alignment horizontal="left" vertical="center"/>
    </xf>
    <xf numFmtId="0" fontId="70" fillId="37" borderId="7" xfId="0" applyFont="1" applyFill="1" applyBorder="1" applyAlignment="1">
      <alignment horizontal="left" vertical="center"/>
    </xf>
    <xf numFmtId="0" fontId="70" fillId="37" borderId="8" xfId="0" applyFont="1" applyFill="1" applyBorder="1" applyAlignment="1">
      <alignment horizontal="left" vertical="center"/>
    </xf>
    <xf numFmtId="0" fontId="70" fillId="44" borderId="0" xfId="0" applyFont="1" applyFill="1" applyAlignment="1">
      <alignment horizontal="left" vertical="center"/>
    </xf>
    <xf numFmtId="0" fontId="22" fillId="0" borderId="0" xfId="0" applyFont="1" applyAlignment="1">
      <alignment horizontal="center" vertical="center" wrapText="1"/>
    </xf>
    <xf numFmtId="0" fontId="79" fillId="0" borderId="0" xfId="0" applyFont="1" applyAlignment="1">
      <alignment horizontal="center" vertical="center" wrapText="1"/>
    </xf>
    <xf numFmtId="0" fontId="32" fillId="27" borderId="0" xfId="0" applyFont="1" applyFill="1" applyAlignment="1">
      <alignment vertical="center"/>
    </xf>
    <xf numFmtId="0" fontId="21" fillId="4" borderId="0" xfId="0" applyFont="1" applyFill="1" applyAlignment="1">
      <alignment horizontal="center" vertical="center"/>
    </xf>
    <xf numFmtId="0" fontId="0" fillId="21" borderId="1" xfId="0" applyFill="1" applyBorder="1" applyAlignment="1" applyProtection="1">
      <alignment vertical="center" wrapText="1"/>
      <protection locked="0"/>
    </xf>
    <xf numFmtId="0" fontId="54" fillId="18" borderId="1" xfId="0" applyFont="1" applyFill="1" applyBorder="1" applyAlignment="1">
      <alignment horizontal="center" vertical="center" wrapText="1"/>
    </xf>
    <xf numFmtId="0" fontId="57" fillId="18" borderId="6" xfId="0" applyFont="1" applyFill="1" applyBorder="1" applyAlignment="1">
      <alignment vertical="center" wrapText="1"/>
    </xf>
    <xf numFmtId="14" fontId="13" fillId="21" borderId="1" xfId="0" applyNumberFormat="1" applyFont="1" applyFill="1" applyBorder="1" applyAlignment="1" applyProtection="1">
      <alignment horizontal="center" vertical="center" wrapText="1"/>
      <protection locked="0"/>
    </xf>
    <xf numFmtId="0" fontId="0" fillId="22" borderId="1" xfId="0" applyFill="1" applyBorder="1" applyAlignment="1" applyProtection="1">
      <alignment vertical="center" wrapText="1"/>
      <protection locked="0"/>
    </xf>
    <xf numFmtId="14" fontId="13" fillId="20" borderId="1" xfId="0" applyNumberFormat="1" applyFont="1" applyFill="1" applyBorder="1" applyAlignment="1" applyProtection="1">
      <alignment horizontal="center" vertical="center" wrapText="1"/>
      <protection locked="0"/>
    </xf>
    <xf numFmtId="0" fontId="13" fillId="7" borderId="2" xfId="0" applyFont="1" applyFill="1" applyBorder="1" applyAlignment="1" applyProtection="1">
      <alignment horizontal="center" vertical="center" wrapText="1"/>
      <protection locked="0"/>
    </xf>
    <xf numFmtId="14" fontId="19" fillId="18" borderId="1" xfId="0" applyNumberFormat="1" applyFont="1" applyFill="1" applyBorder="1" applyAlignment="1" applyProtection="1">
      <alignment horizontal="left" vertical="center" wrapText="1"/>
      <protection locked="0"/>
    </xf>
    <xf numFmtId="0" fontId="39" fillId="20" borderId="6" xfId="0" applyFont="1" applyFill="1" applyBorder="1" applyAlignment="1">
      <alignment horizontal="center" vertical="center" wrapText="1"/>
    </xf>
    <xf numFmtId="0" fontId="57" fillId="19" borderId="6" xfId="0" applyFont="1" applyFill="1" applyBorder="1" applyAlignment="1">
      <alignment horizontal="center" vertical="center" wrapText="1"/>
    </xf>
    <xf numFmtId="0" fontId="2" fillId="22" borderId="6" xfId="0" applyFont="1" applyFill="1" applyBorder="1" applyAlignment="1">
      <alignment horizontal="center" vertical="center" wrapText="1"/>
    </xf>
    <xf numFmtId="0" fontId="0" fillId="3" borderId="1" xfId="0" applyFill="1" applyBorder="1" applyAlignment="1" applyProtection="1">
      <alignment horizontal="left" vertical="center" wrapText="1"/>
      <protection locked="0"/>
    </xf>
    <xf numFmtId="0" fontId="42" fillId="7" borderId="6" xfId="0" applyFont="1" applyFill="1" applyBorder="1" applyAlignment="1">
      <alignment horizontal="center" vertical="center" wrapText="1"/>
    </xf>
    <xf numFmtId="0" fontId="39" fillId="19" borderId="6" xfId="0" applyFont="1" applyFill="1" applyBorder="1" applyAlignment="1">
      <alignment horizontal="center" vertical="center" wrapText="1"/>
    </xf>
    <xf numFmtId="167" fontId="19" fillId="2" borderId="2" xfId="0" applyNumberFormat="1" applyFont="1" applyFill="1" applyBorder="1" applyAlignment="1" applyProtection="1">
      <alignment horizontal="center" vertical="center" wrapText="1"/>
      <protection locked="0"/>
    </xf>
    <xf numFmtId="167" fontId="19" fillId="7" borderId="2" xfId="0" applyNumberFormat="1" applyFont="1" applyFill="1" applyBorder="1" applyAlignment="1" applyProtection="1">
      <alignment horizontal="center" vertical="center" wrapText="1"/>
      <protection locked="0"/>
    </xf>
    <xf numFmtId="14" fontId="13" fillId="19" borderId="1" xfId="0" applyNumberFormat="1" applyFont="1" applyFill="1" applyBorder="1" applyAlignment="1" applyProtection="1">
      <alignment horizontal="center" vertical="center" wrapText="1"/>
      <protection locked="0"/>
    </xf>
    <xf numFmtId="0" fontId="19" fillId="29" borderId="2" xfId="0" applyFont="1" applyFill="1" applyBorder="1" applyAlignment="1" applyProtection="1">
      <alignment horizontal="center" vertical="center" wrapText="1"/>
      <protection locked="0"/>
    </xf>
    <xf numFmtId="0" fontId="13" fillId="16" borderId="1" xfId="0" applyFont="1" applyFill="1" applyBorder="1" applyAlignment="1" applyProtection="1">
      <alignment vertical="center" wrapText="1"/>
      <protection locked="0"/>
    </xf>
    <xf numFmtId="0" fontId="13" fillId="16" borderId="1" xfId="0" applyFont="1" applyFill="1" applyBorder="1" applyAlignment="1" applyProtection="1">
      <alignment horizontal="left" vertical="center" wrapText="1"/>
      <protection locked="0"/>
    </xf>
    <xf numFmtId="0" fontId="4" fillId="15" borderId="1" xfId="0" applyFont="1" applyFill="1" applyBorder="1" applyAlignment="1" applyProtection="1">
      <alignment horizontal="left" vertical="center" wrapText="1"/>
      <protection locked="0"/>
    </xf>
    <xf numFmtId="0" fontId="4" fillId="16" borderId="2" xfId="0" applyFont="1" applyFill="1" applyBorder="1" applyAlignment="1" applyProtection="1">
      <alignment horizontal="left" vertical="center" wrapText="1"/>
      <protection locked="0"/>
    </xf>
    <xf numFmtId="0" fontId="39" fillId="16" borderId="6" xfId="0" applyFont="1" applyFill="1" applyBorder="1" applyAlignment="1">
      <alignment vertical="center" wrapText="1"/>
    </xf>
    <xf numFmtId="0" fontId="9" fillId="2" borderId="2" xfId="245" applyFont="1" applyFill="1" applyBorder="1" applyAlignment="1" applyProtection="1">
      <alignment vertical="center" wrapText="1"/>
      <protection locked="0"/>
    </xf>
    <xf numFmtId="0" fontId="9" fillId="8" borderId="2" xfId="245" applyFont="1" applyFill="1" applyBorder="1" applyAlignment="1" applyProtection="1">
      <alignment vertical="center" wrapText="1"/>
      <protection locked="0"/>
    </xf>
    <xf numFmtId="166" fontId="61" fillId="2" borderId="2" xfId="0" applyNumberFormat="1" applyFont="1" applyFill="1" applyBorder="1" applyAlignment="1" applyProtection="1">
      <alignment horizontal="right" vertical="center" wrapText="1"/>
      <protection locked="0"/>
    </xf>
    <xf numFmtId="0" fontId="63" fillId="7" borderId="2" xfId="245" applyFont="1" applyFill="1" applyBorder="1" applyAlignment="1" applyProtection="1">
      <alignment vertical="center" wrapText="1"/>
      <protection locked="0"/>
    </xf>
    <xf numFmtId="0" fontId="12" fillId="18"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3" borderId="6" xfId="0" applyFont="1" applyFill="1" applyBorder="1" applyAlignment="1" applyProtection="1">
      <alignment horizontal="left" vertical="center" wrapText="1"/>
      <protection locked="0"/>
    </xf>
    <xf numFmtId="0" fontId="4" fillId="15" borderId="2" xfId="0" applyFont="1" applyFill="1" applyBorder="1" applyAlignment="1" applyProtection="1">
      <alignment horizontal="left" vertical="center" wrapText="1"/>
      <protection locked="0"/>
    </xf>
    <xf numFmtId="14" fontId="0" fillId="20" borderId="1" xfId="0" applyNumberFormat="1" applyFill="1" applyBorder="1" applyAlignment="1" applyProtection="1">
      <alignment horizontal="left" vertical="center" wrapText="1"/>
      <protection locked="0"/>
    </xf>
    <xf numFmtId="14" fontId="0" fillId="7" borderId="1" xfId="0" applyNumberFormat="1" applyFill="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2" fillId="2" borderId="1" xfId="0" applyFont="1" applyFill="1" applyBorder="1" applyAlignment="1">
      <alignment horizontal="center" vertical="center" wrapText="1"/>
    </xf>
    <xf numFmtId="0" fontId="9" fillId="15" borderId="2" xfId="245"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4"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33" fillId="3" borderId="1" xfId="0" applyNumberFormat="1" applyFont="1" applyFill="1" applyBorder="1" applyProtection="1">
      <protection locked="0"/>
    </xf>
    <xf numFmtId="0" fontId="81" fillId="3" borderId="1" xfId="0" applyFont="1" applyFill="1" applyBorder="1" applyAlignment="1" applyProtection="1">
      <alignment vertical="center" wrapText="1"/>
      <protection locked="0"/>
    </xf>
    <xf numFmtId="0" fontId="33" fillId="2" borderId="1" xfId="0" applyFont="1" applyFill="1" applyBorder="1" applyAlignment="1" applyProtection="1">
      <alignment vertical="center" wrapText="1"/>
      <protection locked="0"/>
    </xf>
    <xf numFmtId="0" fontId="33" fillId="3" borderId="1" xfId="0" applyFont="1" applyFill="1" applyBorder="1" applyAlignment="1" applyProtection="1">
      <alignment horizontal="left" vertical="top" wrapText="1"/>
      <protection locked="0"/>
    </xf>
    <xf numFmtId="0" fontId="13" fillId="3" borderId="2" xfId="0" applyFont="1" applyFill="1" applyBorder="1" applyAlignment="1" applyProtection="1">
      <alignment horizontal="center" vertical="center" wrapText="1"/>
      <protection locked="0"/>
    </xf>
    <xf numFmtId="14" fontId="13" fillId="29" borderId="1" xfId="0" applyNumberFormat="1" applyFont="1" applyFill="1" applyBorder="1" applyAlignment="1" applyProtection="1">
      <alignment horizontal="center" vertical="center" wrapText="1"/>
      <protection locked="0"/>
    </xf>
    <xf numFmtId="166" fontId="61" fillId="3" borderId="2" xfId="0" applyNumberFormat="1" applyFont="1" applyFill="1" applyBorder="1" applyAlignment="1" applyProtection="1">
      <alignment horizontal="right" vertical="center" wrapText="1"/>
      <protection locked="0"/>
    </xf>
    <xf numFmtId="167" fontId="19" fillId="3" borderId="2" xfId="0" applyNumberFormat="1" applyFont="1" applyFill="1" applyBorder="1" applyAlignment="1" applyProtection="1">
      <alignment horizontal="center" vertical="center" wrapText="1"/>
      <protection locked="0"/>
    </xf>
    <xf numFmtId="0" fontId="63" fillId="2" borderId="2" xfId="245" applyFont="1" applyFill="1" applyBorder="1" applyAlignment="1" applyProtection="1">
      <alignment vertical="center" wrapText="1"/>
      <protection locked="0"/>
    </xf>
    <xf numFmtId="0" fontId="9" fillId="7" borderId="2" xfId="245" applyFont="1" applyFill="1" applyBorder="1" applyAlignment="1" applyProtection="1">
      <alignment vertical="center" wrapText="1"/>
      <protection locked="0"/>
    </xf>
    <xf numFmtId="0" fontId="13" fillId="15" borderId="1" xfId="0" applyFont="1" applyFill="1" applyBorder="1" applyAlignment="1" applyProtection="1">
      <alignment vertical="center" wrapText="1"/>
      <protection locked="0"/>
    </xf>
    <xf numFmtId="0" fontId="9" fillId="18" borderId="2" xfId="245" applyFont="1" applyFill="1" applyBorder="1" applyAlignment="1" applyProtection="1">
      <alignment horizontal="center" vertical="center" wrapText="1"/>
      <protection locked="0"/>
    </xf>
    <xf numFmtId="0" fontId="13" fillId="15" borderId="1" xfId="0" applyFont="1" applyFill="1" applyBorder="1" applyAlignment="1" applyProtection="1">
      <alignment horizontal="left" vertical="center" wrapText="1"/>
      <protection locked="0"/>
    </xf>
    <xf numFmtId="0" fontId="4" fillId="18" borderId="1" xfId="0" applyFont="1" applyFill="1" applyBorder="1" applyAlignment="1" applyProtection="1">
      <alignment horizontal="left" vertical="center" wrapText="1"/>
      <protection locked="0"/>
    </xf>
    <xf numFmtId="0" fontId="9" fillId="48" borderId="2" xfId="245" applyFont="1" applyFill="1" applyBorder="1" applyAlignment="1" applyProtection="1">
      <alignment vertical="center" wrapText="1"/>
      <protection locked="0"/>
    </xf>
    <xf numFmtId="14" fontId="13" fillId="23" borderId="1" xfId="0" applyNumberFormat="1" applyFont="1" applyFill="1" applyBorder="1" applyAlignment="1" applyProtection="1">
      <alignment horizontal="center" vertical="center" wrapText="1"/>
      <protection locked="0"/>
    </xf>
    <xf numFmtId="14" fontId="13" fillId="49" borderId="1" xfId="0" applyNumberFormat="1" applyFont="1" applyFill="1" applyBorder="1" applyAlignment="1" applyProtection="1">
      <alignment horizontal="center" vertical="center" wrapText="1"/>
      <protection locked="0"/>
    </xf>
    <xf numFmtId="14" fontId="13" fillId="39" borderId="1" xfId="0" applyNumberFormat="1" applyFont="1" applyFill="1" applyBorder="1" applyAlignment="1" applyProtection="1">
      <alignment horizontal="center" vertical="center" wrapText="1"/>
      <protection locked="0"/>
    </xf>
    <xf numFmtId="0" fontId="0" fillId="39" borderId="1" xfId="0" applyFill="1" applyBorder="1" applyAlignment="1" applyProtection="1">
      <alignment vertical="center" wrapText="1"/>
      <protection locked="0"/>
    </xf>
    <xf numFmtId="0" fontId="3" fillId="7" borderId="6" xfId="0" applyFont="1" applyFill="1" applyBorder="1" applyAlignment="1" applyProtection="1">
      <alignment horizontal="left" vertical="center" wrapText="1"/>
      <protection locked="0"/>
    </xf>
    <xf numFmtId="14" fontId="0" fillId="2" borderId="1" xfId="0" applyNumberFormat="1" applyFill="1" applyBorder="1" applyAlignment="1" applyProtection="1">
      <alignment horizontal="left" vertical="center" wrapText="1"/>
      <protection locked="0"/>
    </xf>
    <xf numFmtId="0" fontId="13" fillId="2" borderId="2" xfId="0" applyFont="1" applyFill="1" applyBorder="1" applyProtection="1">
      <protection locked="0"/>
    </xf>
    <xf numFmtId="0" fontId="13" fillId="7" borderId="2" xfId="0" applyFont="1" applyFill="1" applyBorder="1" applyProtection="1">
      <protection locked="0"/>
    </xf>
    <xf numFmtId="0" fontId="33" fillId="7" borderId="1" xfId="0" applyFont="1" applyFill="1" applyBorder="1" applyAlignment="1" applyProtection="1">
      <alignment vertical="center" wrapText="1"/>
      <protection locked="0"/>
    </xf>
    <xf numFmtId="0" fontId="15" fillId="0" borderId="0" xfId="0" applyFont="1" applyAlignment="1">
      <alignment horizontal="right" vertical="center" wrapText="1"/>
    </xf>
    <xf numFmtId="44" fontId="15" fillId="0" borderId="0" xfId="0" applyNumberFormat="1" applyFont="1" applyAlignment="1">
      <alignment horizontal="left" vertical="center" wrapText="1"/>
    </xf>
    <xf numFmtId="0" fontId="62" fillId="21" borderId="29" xfId="0" applyFont="1" applyFill="1" applyBorder="1" applyAlignment="1">
      <alignment horizontal="center" vertical="center" wrapText="1"/>
    </xf>
    <xf numFmtId="0" fontId="22" fillId="3" borderId="29" xfId="0" applyFont="1" applyFill="1" applyBorder="1" applyAlignment="1">
      <alignment horizontal="center" vertical="center" wrapText="1"/>
    </xf>
    <xf numFmtId="0" fontId="83" fillId="52" borderId="29" xfId="0" applyFont="1" applyFill="1" applyBorder="1" applyAlignment="1">
      <alignment horizontal="center" vertical="center" wrapText="1"/>
    </xf>
    <xf numFmtId="0" fontId="84" fillId="52" borderId="29" xfId="0" applyFont="1" applyFill="1" applyBorder="1" applyAlignment="1">
      <alignment horizontal="center" vertical="center" wrapText="1"/>
    </xf>
    <xf numFmtId="0" fontId="20" fillId="3" borderId="29" xfId="0" applyFont="1" applyFill="1" applyBorder="1" applyAlignment="1">
      <alignment horizontal="center" vertical="center" wrapText="1"/>
    </xf>
    <xf numFmtId="0" fontId="26" fillId="54" borderId="0" xfId="0" applyFont="1" applyFill="1" applyAlignment="1">
      <alignment horizontal="left" vertical="center"/>
    </xf>
    <xf numFmtId="0" fontId="2" fillId="54" borderId="0" xfId="0" applyFont="1" applyFill="1"/>
    <xf numFmtId="0" fontId="0" fillId="54" borderId="0" xfId="0" applyFill="1"/>
    <xf numFmtId="0" fontId="32" fillId="54" borderId="0" xfId="0" applyFont="1" applyFill="1" applyAlignment="1">
      <alignment horizontal="center" vertical="center"/>
    </xf>
    <xf numFmtId="0" fontId="14" fillId="54" borderId="35" xfId="0" applyFont="1" applyFill="1" applyBorder="1" applyAlignment="1">
      <alignment horizontal="center" vertical="center"/>
    </xf>
    <xf numFmtId="0" fontId="14" fillId="54" borderId="0" xfId="0" applyFont="1" applyFill="1" applyAlignment="1">
      <alignment horizontal="center" vertical="center"/>
    </xf>
    <xf numFmtId="0" fontId="21" fillId="54" borderId="0" xfId="0" applyFont="1" applyFill="1" applyAlignment="1">
      <alignment horizontal="center" vertical="center"/>
    </xf>
    <xf numFmtId="0" fontId="30" fillId="54" borderId="10" xfId="0" applyFont="1" applyFill="1" applyBorder="1" applyAlignment="1">
      <alignment horizontal="left" vertical="center" wrapText="1"/>
    </xf>
    <xf numFmtId="0" fontId="0" fillId="7" borderId="1" xfId="0" applyFill="1" applyBorder="1" applyAlignment="1">
      <alignment horizontal="center" vertical="center"/>
    </xf>
    <xf numFmtId="0" fontId="29" fillId="19" borderId="1" xfId="0" applyFont="1" applyFill="1" applyBorder="1" applyAlignment="1">
      <alignment horizontal="center" vertical="center"/>
    </xf>
    <xf numFmtId="0" fontId="39" fillId="16" borderId="1" xfId="0" applyFont="1" applyFill="1" applyBorder="1" applyAlignment="1">
      <alignment vertical="center" wrapText="1"/>
    </xf>
    <xf numFmtId="0" fontId="20" fillId="15" borderId="1" xfId="0" applyFont="1" applyFill="1" applyBorder="1" applyAlignment="1">
      <alignment horizontal="center" vertical="center" wrapText="1"/>
    </xf>
    <xf numFmtId="0" fontId="39" fillId="15" borderId="1" xfId="0" applyFont="1" applyFill="1" applyBorder="1" applyAlignment="1">
      <alignment vertical="center" wrapText="1"/>
    </xf>
    <xf numFmtId="0" fontId="39" fillId="19" borderId="1" xfId="0" applyFont="1" applyFill="1" applyBorder="1" applyAlignment="1">
      <alignment horizontal="center" vertical="center" wrapText="1"/>
    </xf>
    <xf numFmtId="0" fontId="20" fillId="20" borderId="1" xfId="0" applyFont="1" applyFill="1" applyBorder="1" applyAlignment="1">
      <alignment horizontal="center" vertical="center" wrapText="1"/>
    </xf>
    <xf numFmtId="14" fontId="0" fillId="51" borderId="1" xfId="0" applyNumberFormat="1" applyFill="1" applyBorder="1" applyAlignment="1" applyProtection="1">
      <alignment horizontal="left" vertical="center" wrapText="1"/>
      <protection locked="0"/>
    </xf>
    <xf numFmtId="0" fontId="33" fillId="19" borderId="1" xfId="0" applyFont="1" applyFill="1" applyBorder="1" applyAlignment="1" applyProtection="1">
      <alignment vertical="center" wrapText="1"/>
      <protection locked="0"/>
    </xf>
    <xf numFmtId="0" fontId="33" fillId="51" borderId="1" xfId="0" applyFont="1" applyFill="1" applyBorder="1" applyAlignment="1" applyProtection="1">
      <alignment vertical="center" wrapText="1"/>
      <protection locked="0"/>
    </xf>
    <xf numFmtId="14" fontId="0" fillId="19" borderId="1" xfId="0" applyNumberFormat="1" applyFill="1" applyBorder="1" applyAlignment="1" applyProtection="1">
      <alignment horizontal="left" vertical="center" wrapText="1"/>
      <protection locked="0"/>
    </xf>
    <xf numFmtId="0" fontId="2" fillId="2" borderId="1" xfId="0" applyFont="1" applyFill="1" applyBorder="1" applyAlignment="1">
      <alignment vertical="center" wrapText="1"/>
    </xf>
    <xf numFmtId="0" fontId="40" fillId="17" borderId="6" xfId="0" applyFont="1" applyFill="1" applyBorder="1" applyAlignment="1">
      <alignment horizontal="center" vertical="center"/>
    </xf>
    <xf numFmtId="0" fontId="3" fillId="3" borderId="14" xfId="0" applyFont="1" applyFill="1" applyBorder="1" applyAlignment="1">
      <alignment vertical="center" wrapText="1"/>
    </xf>
    <xf numFmtId="0" fontId="41" fillId="3" borderId="6" xfId="0" applyFont="1" applyFill="1" applyBorder="1" applyAlignment="1">
      <alignment vertical="center" wrapText="1"/>
    </xf>
    <xf numFmtId="0" fontId="62" fillId="3" borderId="14" xfId="0" applyFont="1" applyFill="1" applyBorder="1" applyAlignment="1">
      <alignment horizontal="center" vertical="center" wrapText="1"/>
    </xf>
    <xf numFmtId="0" fontId="62" fillId="2" borderId="14"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2" borderId="14" xfId="0" applyFont="1" applyFill="1" applyBorder="1" applyAlignment="1">
      <alignment vertical="center" wrapText="1"/>
    </xf>
    <xf numFmtId="0" fontId="3" fillId="3" borderId="6" xfId="0" applyFont="1" applyFill="1" applyBorder="1" applyAlignment="1">
      <alignment horizontal="center" vertical="center" wrapText="1"/>
    </xf>
    <xf numFmtId="0" fontId="33" fillId="3" borderId="1" xfId="0" applyFont="1" applyFill="1" applyBorder="1" applyAlignment="1" applyProtection="1">
      <alignment vertical="center"/>
      <protection locked="0"/>
    </xf>
    <xf numFmtId="0" fontId="86" fillId="7" borderId="1" xfId="0" applyFont="1" applyFill="1" applyBorder="1" applyAlignment="1">
      <alignment horizontal="center" vertical="center" wrapText="1"/>
    </xf>
    <xf numFmtId="0" fontId="0" fillId="3" borderId="2" xfId="0"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0" fontId="13" fillId="16" borderId="2" xfId="0" applyFont="1" applyFill="1" applyBorder="1" applyAlignment="1" applyProtection="1">
      <alignment vertical="center" wrapText="1"/>
      <protection locked="0"/>
    </xf>
    <xf numFmtId="0" fontId="13" fillId="50" borderId="1" xfId="0" applyFont="1" applyFill="1" applyBorder="1" applyAlignment="1" applyProtection="1">
      <alignment vertical="center" wrapText="1"/>
      <protection locked="0"/>
    </xf>
    <xf numFmtId="0" fontId="13" fillId="50" borderId="2" xfId="0" applyFont="1" applyFill="1" applyBorder="1" applyAlignment="1" applyProtection="1">
      <alignment vertical="center" wrapText="1"/>
      <protection locked="0"/>
    </xf>
    <xf numFmtId="0" fontId="13" fillId="16" borderId="2" xfId="0" applyFont="1" applyFill="1" applyBorder="1" applyAlignment="1" applyProtection="1">
      <alignment horizontal="left" vertical="center" wrapText="1"/>
      <protection locked="0"/>
    </xf>
    <xf numFmtId="0" fontId="13" fillId="15" borderId="2" xfId="0" applyFont="1" applyFill="1" applyBorder="1" applyAlignment="1" applyProtection="1">
      <alignment horizontal="left" vertical="center" wrapText="1"/>
      <protection locked="0"/>
    </xf>
    <xf numFmtId="0" fontId="4" fillId="18" borderId="2" xfId="0" applyFont="1" applyFill="1" applyBorder="1" applyAlignment="1" applyProtection="1">
      <alignment horizontal="left" vertical="center" wrapText="1"/>
      <protection locked="0"/>
    </xf>
    <xf numFmtId="0" fontId="39" fillId="16" borderId="6" xfId="0" applyFont="1" applyFill="1" applyBorder="1" applyAlignment="1">
      <alignment horizontal="center" vertical="center" wrapText="1"/>
    </xf>
    <xf numFmtId="0" fontId="4" fillId="50" borderId="2" xfId="0" applyFont="1" applyFill="1" applyBorder="1" applyAlignment="1" applyProtection="1">
      <alignment horizontal="left" vertical="center" wrapText="1"/>
      <protection locked="0"/>
    </xf>
    <xf numFmtId="14" fontId="87" fillId="20" borderId="1" xfId="0" applyNumberFormat="1" applyFont="1" applyFill="1" applyBorder="1" applyAlignment="1" applyProtection="1">
      <alignment horizontal="center" vertical="center" wrapText="1"/>
      <protection locked="0"/>
    </xf>
    <xf numFmtId="14" fontId="87" fillId="19" borderId="1" xfId="0" applyNumberFormat="1" applyFont="1" applyFill="1" applyBorder="1" applyAlignment="1" applyProtection="1">
      <alignment horizontal="center" vertical="center" wrapText="1"/>
      <protection locked="0"/>
    </xf>
    <xf numFmtId="14" fontId="87" fillId="55" borderId="1" xfId="0" applyNumberFormat="1" applyFont="1" applyFill="1" applyBorder="1" applyAlignment="1" applyProtection="1">
      <alignment horizontal="center" vertical="center" wrapText="1"/>
      <protection locked="0"/>
    </xf>
    <xf numFmtId="14" fontId="87" fillId="24" borderId="1" xfId="0" applyNumberFormat="1" applyFont="1" applyFill="1" applyBorder="1" applyAlignment="1" applyProtection="1">
      <alignment horizontal="center" vertical="center" wrapText="1"/>
      <protection locked="0"/>
    </xf>
    <xf numFmtId="14" fontId="87" fillId="49" borderId="1" xfId="0" applyNumberFormat="1" applyFont="1" applyFill="1" applyBorder="1" applyAlignment="1" applyProtection="1">
      <alignment horizontal="center" vertical="center" wrapText="1"/>
      <protection locked="0"/>
    </xf>
    <xf numFmtId="166" fontId="38" fillId="2" borderId="2" xfId="0" applyNumberFormat="1" applyFont="1" applyFill="1" applyBorder="1" applyAlignment="1" applyProtection="1">
      <alignment vertical="center" wrapText="1"/>
      <protection locked="0"/>
    </xf>
    <xf numFmtId="0" fontId="13" fillId="7" borderId="2" xfId="0" applyFont="1" applyFill="1" applyBorder="1" applyAlignment="1" applyProtection="1">
      <alignment vertical="center" wrapText="1"/>
      <protection locked="0"/>
    </xf>
    <xf numFmtId="167" fontId="85" fillId="52" borderId="2" xfId="0" applyNumberFormat="1" applyFont="1" applyFill="1" applyBorder="1" applyAlignment="1">
      <alignment horizontal="right" vertical="center" wrapText="1"/>
    </xf>
    <xf numFmtId="166" fontId="38" fillId="3" borderId="2" xfId="0" applyNumberFormat="1" applyFont="1" applyFill="1" applyBorder="1" applyAlignment="1" applyProtection="1">
      <alignment vertical="center" wrapText="1"/>
      <protection locked="0"/>
    </xf>
    <xf numFmtId="0" fontId="36" fillId="3" borderId="2" xfId="0" applyFont="1" applyFill="1" applyBorder="1" applyAlignment="1" applyProtection="1">
      <alignment horizontal="center" vertical="center" wrapText="1"/>
      <protection locked="0"/>
    </xf>
    <xf numFmtId="0" fontId="63" fillId="3" borderId="2" xfId="245" applyFont="1" applyFill="1" applyBorder="1" applyAlignment="1" applyProtection="1">
      <alignment vertical="center" wrapText="1"/>
      <protection locked="0"/>
    </xf>
    <xf numFmtId="0" fontId="13" fillId="3" borderId="2" xfId="0" applyFont="1" applyFill="1" applyBorder="1" applyAlignment="1" applyProtection="1">
      <alignment vertical="center" wrapText="1"/>
      <protection locked="0"/>
    </xf>
    <xf numFmtId="14" fontId="0" fillId="19" borderId="3" xfId="0" applyNumberFormat="1" applyFill="1" applyBorder="1" applyAlignment="1" applyProtection="1">
      <alignment horizontal="left" vertical="center" wrapText="1"/>
      <protection locked="0"/>
    </xf>
    <xf numFmtId="14" fontId="0" fillId="20" borderId="2" xfId="0" applyNumberFormat="1" applyFill="1" applyBorder="1" applyAlignment="1" applyProtection="1">
      <alignment horizontal="left" vertical="center" wrapText="1"/>
      <protection locked="0"/>
    </xf>
    <xf numFmtId="0" fontId="0" fillId="19" borderId="3" xfId="0" applyFill="1" applyBorder="1" applyAlignment="1" applyProtection="1">
      <alignment horizontal="left" vertical="center" wrapText="1"/>
      <protection locked="0"/>
    </xf>
    <xf numFmtId="0" fontId="0" fillId="20" borderId="1" xfId="0" applyFill="1" applyBorder="1" applyAlignment="1" applyProtection="1">
      <alignment horizontal="left" vertical="center" wrapText="1"/>
      <protection locked="0"/>
    </xf>
    <xf numFmtId="14" fontId="0" fillId="19" borderId="4" xfId="0" applyNumberFormat="1" applyFill="1" applyBorder="1" applyAlignment="1" applyProtection="1">
      <alignment horizontal="left" vertical="center" wrapText="1"/>
      <protection locked="0"/>
    </xf>
    <xf numFmtId="0" fontId="0" fillId="20" borderId="2" xfId="0" applyFill="1" applyBorder="1" applyAlignment="1" applyProtection="1">
      <alignment horizontal="left" vertical="center" wrapText="1"/>
      <protection locked="0"/>
    </xf>
    <xf numFmtId="0" fontId="77" fillId="0" borderId="0" xfId="0" applyFont="1" applyAlignment="1">
      <alignment horizontal="left" vertical="center"/>
    </xf>
    <xf numFmtId="0" fontId="0" fillId="0" borderId="1" xfId="0" applyBorder="1" applyAlignment="1" applyProtection="1">
      <alignment vertical="center" wrapText="1"/>
      <protection locked="0"/>
    </xf>
    <xf numFmtId="0" fontId="19" fillId="15" borderId="2" xfId="0" applyFont="1" applyFill="1" applyBorder="1" applyAlignment="1" applyProtection="1">
      <alignment horizontal="center" vertical="center" wrapText="1"/>
      <protection locked="0"/>
    </xf>
    <xf numFmtId="0" fontId="39" fillId="3" borderId="2" xfId="0" applyFont="1" applyFill="1" applyBorder="1" applyAlignment="1">
      <alignment horizontal="left" vertical="center" wrapText="1"/>
    </xf>
    <xf numFmtId="0" fontId="21" fillId="2" borderId="1" xfId="0" applyFont="1" applyFill="1" applyBorder="1" applyAlignment="1" applyProtection="1">
      <alignment horizontal="center" vertical="center" wrapText="1"/>
      <protection locked="0"/>
    </xf>
    <xf numFmtId="0" fontId="21" fillId="7" borderId="1" xfId="0" applyFont="1" applyFill="1" applyBorder="1" applyAlignment="1" applyProtection="1">
      <alignment horizontal="center" vertical="center" wrapText="1"/>
      <protection locked="0"/>
    </xf>
    <xf numFmtId="0" fontId="39" fillId="2" borderId="2" xfId="0" applyFont="1" applyFill="1" applyBorder="1" applyAlignment="1" applyProtection="1">
      <alignment horizontal="left" vertical="center"/>
      <protection locked="0"/>
    </xf>
    <xf numFmtId="0" fontId="39" fillId="7" borderId="2" xfId="0" applyFont="1" applyFill="1" applyBorder="1" applyAlignment="1" applyProtection="1">
      <alignment horizontal="left" vertical="center"/>
      <protection locked="0"/>
    </xf>
    <xf numFmtId="0" fontId="76" fillId="2" borderId="2" xfId="0" applyFont="1" applyFill="1" applyBorder="1" applyAlignment="1" applyProtection="1">
      <alignment horizontal="center" vertical="center" wrapText="1"/>
      <protection locked="0"/>
    </xf>
    <xf numFmtId="0" fontId="76" fillId="7" borderId="2" xfId="0" applyFont="1" applyFill="1" applyBorder="1" applyAlignment="1" applyProtection="1">
      <alignment horizontal="center" vertical="center" wrapText="1"/>
      <protection locked="0"/>
    </xf>
    <xf numFmtId="0" fontId="42" fillId="7" borderId="29" xfId="0" applyFont="1" applyFill="1" applyBorder="1" applyAlignment="1">
      <alignment horizontal="center" vertical="center" wrapText="1"/>
    </xf>
    <xf numFmtId="0" fontId="83" fillId="52" borderId="47" xfId="0" applyFont="1" applyFill="1" applyBorder="1" applyAlignment="1">
      <alignment horizontal="center" vertical="center" wrapText="1"/>
    </xf>
    <xf numFmtId="0" fontId="36" fillId="52" borderId="47" xfId="0" applyFont="1" applyFill="1" applyBorder="1" applyAlignment="1">
      <alignment horizontal="center" vertical="center"/>
    </xf>
    <xf numFmtId="0" fontId="63" fillId="29" borderId="2" xfId="245" applyFont="1" applyFill="1" applyBorder="1" applyAlignment="1" applyProtection="1">
      <alignment horizontal="center" vertical="center" wrapText="1"/>
      <protection locked="0"/>
    </xf>
    <xf numFmtId="0" fontId="63" fillId="18" borderId="2" xfId="245" applyFont="1" applyFill="1" applyBorder="1" applyAlignment="1" applyProtection="1">
      <alignment horizontal="center" vertical="center" wrapText="1"/>
      <protection locked="0"/>
    </xf>
    <xf numFmtId="0" fontId="2" fillId="8" borderId="6" xfId="0" applyFont="1" applyFill="1" applyBorder="1" applyAlignment="1">
      <alignment horizontal="center" vertical="center" wrapText="1"/>
    </xf>
    <xf numFmtId="0" fontId="41" fillId="2" borderId="30" xfId="0" applyFont="1" applyFill="1" applyBorder="1" applyAlignment="1">
      <alignment horizontal="center" vertical="center" textRotation="90" wrapText="1"/>
    </xf>
    <xf numFmtId="0" fontId="62" fillId="2" borderId="48"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22" fillId="2" borderId="2"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14" fontId="19" fillId="7" borderId="1" xfId="0" applyNumberFormat="1" applyFont="1" applyFill="1" applyBorder="1" applyAlignment="1" applyProtection="1">
      <alignment horizontal="center" vertical="center" wrapText="1"/>
      <protection locked="0"/>
    </xf>
    <xf numFmtId="0" fontId="20" fillId="19" borderId="4" xfId="0" applyFont="1" applyFill="1" applyBorder="1" applyAlignment="1">
      <alignment horizontal="center" vertical="center" wrapText="1"/>
    </xf>
    <xf numFmtId="14" fontId="0" fillId="20" borderId="4" xfId="0" applyNumberFormat="1" applyFill="1" applyBorder="1" applyAlignment="1" applyProtection="1">
      <alignment horizontal="left" vertical="center" wrapText="1"/>
      <protection locked="0"/>
    </xf>
    <xf numFmtId="14" fontId="0" fillId="51" borderId="4" xfId="0" applyNumberFormat="1" applyFill="1" applyBorder="1" applyAlignment="1" applyProtection="1">
      <alignment horizontal="left" vertical="center" wrapText="1"/>
      <protection locked="0"/>
    </xf>
    <xf numFmtId="0" fontId="40" fillId="17" borderId="14" xfId="0" applyFont="1" applyFill="1" applyBorder="1" applyAlignment="1">
      <alignment horizontal="center" vertical="center"/>
    </xf>
    <xf numFmtId="0" fontId="59" fillId="7" borderId="1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60" fillId="16" borderId="6" xfId="0" applyFont="1" applyFill="1" applyBorder="1" applyAlignment="1">
      <alignment vertical="center" wrapText="1"/>
    </xf>
    <xf numFmtId="0" fontId="59" fillId="15" borderId="6" xfId="0" applyFont="1" applyFill="1" applyBorder="1" applyAlignment="1">
      <alignment horizontal="center" vertical="center" wrapText="1"/>
    </xf>
    <xf numFmtId="0" fontId="60" fillId="15" borderId="6" xfId="0" applyFont="1" applyFill="1" applyBorder="1" applyAlignment="1">
      <alignment vertical="center" wrapText="1"/>
    </xf>
    <xf numFmtId="0" fontId="59" fillId="19" borderId="7" xfId="0" applyFont="1" applyFill="1" applyBorder="1" applyAlignment="1">
      <alignment horizontal="center" vertical="center" wrapText="1"/>
    </xf>
    <xf numFmtId="0" fontId="60" fillId="19" borderId="6" xfId="0" applyFont="1" applyFill="1" applyBorder="1" applyAlignment="1">
      <alignment horizontal="center" vertical="center" wrapText="1"/>
    </xf>
    <xf numFmtId="0" fontId="59" fillId="20" borderId="6" xfId="0" applyFont="1" applyFill="1" applyBorder="1" applyAlignment="1">
      <alignment horizontal="center" vertical="center" wrapText="1"/>
    </xf>
    <xf numFmtId="0" fontId="18" fillId="19" borderId="14" xfId="0" applyFont="1" applyFill="1" applyBorder="1" applyAlignment="1">
      <alignment horizontal="center" vertical="center"/>
    </xf>
    <xf numFmtId="0" fontId="81" fillId="3" borderId="49" xfId="0" applyFont="1" applyFill="1" applyBorder="1" applyAlignment="1" applyProtection="1">
      <alignment horizontal="left" vertical="center" wrapText="1"/>
      <protection locked="0"/>
    </xf>
    <xf numFmtId="0" fontId="81" fillId="2" borderId="49" xfId="0" applyFont="1" applyFill="1" applyBorder="1" applyAlignment="1" applyProtection="1">
      <alignment horizontal="left" vertical="center" wrapText="1"/>
      <protection locked="0"/>
    </xf>
    <xf numFmtId="0" fontId="81" fillId="2" borderId="50" xfId="0" applyFont="1" applyFill="1" applyBorder="1" applyAlignment="1" applyProtection="1">
      <alignment horizontal="left" vertical="center" wrapText="1"/>
      <protection locked="0"/>
    </xf>
    <xf numFmtId="0" fontId="81" fillId="7" borderId="50" xfId="0" applyFont="1" applyFill="1" applyBorder="1" applyAlignment="1" applyProtection="1">
      <alignment horizontal="left" vertical="center" wrapText="1"/>
      <protection locked="0"/>
    </xf>
    <xf numFmtId="0" fontId="86" fillId="12" borderId="1" xfId="0" applyFont="1" applyFill="1" applyBorder="1" applyAlignment="1">
      <alignment horizontal="center" vertical="center" wrapText="1"/>
    </xf>
    <xf numFmtId="0" fontId="89" fillId="2" borderId="50" xfId="0" applyFont="1" applyFill="1" applyBorder="1" applyAlignment="1" applyProtection="1">
      <alignment horizontal="center" vertical="center" wrapText="1"/>
      <protection locked="0"/>
    </xf>
    <xf numFmtId="0" fontId="89" fillId="7" borderId="50" xfId="0" applyFont="1" applyFill="1" applyBorder="1" applyAlignment="1" applyProtection="1">
      <alignment horizontal="center" vertical="center" wrapText="1"/>
      <protection locked="0"/>
    </xf>
    <xf numFmtId="0" fontId="90" fillId="7" borderId="1" xfId="0" applyFont="1" applyFill="1" applyBorder="1" applyAlignment="1">
      <alignment horizontal="center" vertical="center" wrapText="1"/>
    </xf>
    <xf numFmtId="0" fontId="60" fillId="7" borderId="29" xfId="0" applyFont="1" applyFill="1" applyBorder="1" applyAlignment="1">
      <alignment horizontal="center" vertical="center" textRotation="90" wrapText="1"/>
    </xf>
    <xf numFmtId="0" fontId="60" fillId="2" borderId="29" xfId="0" applyFont="1" applyFill="1" applyBorder="1" applyAlignment="1">
      <alignment horizontal="center" vertical="center" textRotation="90" wrapText="1"/>
    </xf>
    <xf numFmtId="0" fontId="60" fillId="2" borderId="30" xfId="0" applyFont="1" applyFill="1" applyBorder="1" applyAlignment="1">
      <alignment horizontal="center" vertical="center" textRotation="90" wrapText="1"/>
    </xf>
    <xf numFmtId="0" fontId="60" fillId="7" borderId="30" xfId="0" applyFont="1" applyFill="1" applyBorder="1" applyAlignment="1">
      <alignment horizontal="center" vertical="center" textRotation="90" wrapText="1"/>
    </xf>
    <xf numFmtId="0" fontId="39" fillId="29" borderId="29" xfId="0" applyFont="1" applyFill="1" applyBorder="1" applyAlignment="1">
      <alignment vertical="center" wrapText="1"/>
    </xf>
    <xf numFmtId="0" fontId="59" fillId="7" borderId="48" xfId="0" applyFont="1" applyFill="1" applyBorder="1" applyAlignment="1">
      <alignment horizontal="center" vertical="center" wrapText="1"/>
    </xf>
    <xf numFmtId="0" fontId="57" fillId="29" borderId="6" xfId="0" applyFont="1" applyFill="1" applyBorder="1" applyAlignment="1">
      <alignment vertical="center" wrapText="1"/>
    </xf>
    <xf numFmtId="0" fontId="41" fillId="7" borderId="30" xfId="0" applyFont="1" applyFill="1" applyBorder="1" applyAlignment="1">
      <alignment horizontal="center" vertical="center" wrapText="1"/>
    </xf>
    <xf numFmtId="0" fontId="55" fillId="2" borderId="1" xfId="0" applyFont="1" applyFill="1" applyBorder="1" applyAlignment="1">
      <alignment horizontal="center" vertical="center" wrapText="1"/>
    </xf>
    <xf numFmtId="0" fontId="62" fillId="2" borderId="1" xfId="0" applyFont="1" applyFill="1" applyBorder="1" applyAlignment="1">
      <alignment horizontal="center" vertical="center" wrapText="1"/>
    </xf>
    <xf numFmtId="0" fontId="84" fillId="52" borderId="1" xfId="0" applyFont="1" applyFill="1" applyBorder="1" applyAlignment="1">
      <alignment horizontal="center" vertical="center" wrapText="1"/>
    </xf>
    <xf numFmtId="0" fontId="42" fillId="7" borderId="1" xfId="0" applyFont="1" applyFill="1" applyBorder="1" applyAlignment="1">
      <alignment horizontal="center" vertical="center" wrapText="1"/>
    </xf>
    <xf numFmtId="0" fontId="91" fillId="3" borderId="50" xfId="245" applyFont="1" applyFill="1" applyBorder="1" applyAlignment="1" applyProtection="1">
      <alignment vertical="center" wrapText="1"/>
      <protection locked="0"/>
    </xf>
    <xf numFmtId="0" fontId="91" fillId="7" borderId="50" xfId="245" applyFont="1" applyFill="1" applyBorder="1" applyAlignment="1" applyProtection="1">
      <alignment vertical="center" wrapText="1"/>
      <protection locked="0"/>
    </xf>
    <xf numFmtId="0" fontId="62" fillId="7" borderId="50" xfId="0" applyFont="1" applyFill="1" applyBorder="1" applyAlignment="1" applyProtection="1">
      <alignment vertical="center" wrapText="1"/>
      <protection locked="0"/>
    </xf>
    <xf numFmtId="0" fontId="62" fillId="3" borderId="50" xfId="0" applyFont="1" applyFill="1" applyBorder="1" applyAlignment="1" applyProtection="1">
      <alignment vertical="center" wrapText="1"/>
      <protection locked="0"/>
    </xf>
    <xf numFmtId="0" fontId="62" fillId="7" borderId="50" xfId="0" applyFont="1" applyFill="1" applyBorder="1" applyAlignment="1" applyProtection="1">
      <alignment horizontal="center" vertical="center" wrapText="1"/>
      <protection locked="0"/>
    </xf>
    <xf numFmtId="0" fontId="62" fillId="3" borderId="50" xfId="0" applyFont="1" applyFill="1" applyBorder="1" applyAlignment="1" applyProtection="1">
      <alignment horizontal="center" vertical="center" wrapText="1"/>
      <protection locked="0"/>
    </xf>
    <xf numFmtId="0" fontId="91" fillId="2" borderId="50" xfId="245" applyFont="1" applyFill="1" applyBorder="1" applyAlignment="1" applyProtection="1">
      <alignment vertical="center" wrapText="1"/>
      <protection locked="0"/>
    </xf>
    <xf numFmtId="0" fontId="41" fillId="29" borderId="29" xfId="0" applyFont="1" applyFill="1" applyBorder="1" applyAlignment="1">
      <alignment horizontal="center" vertical="center" wrapText="1"/>
    </xf>
    <xf numFmtId="0" fontId="40" fillId="17" borderId="30" xfId="0" applyFont="1" applyFill="1" applyBorder="1" applyAlignment="1">
      <alignment horizontal="center" vertical="center"/>
    </xf>
    <xf numFmtId="0" fontId="41" fillId="29" borderId="1" xfId="0" applyFont="1" applyFill="1" applyBorder="1" applyAlignment="1">
      <alignment horizontal="center" vertical="center" wrapText="1"/>
    </xf>
    <xf numFmtId="0" fontId="62" fillId="3" borderId="1" xfId="0" applyFont="1" applyFill="1" applyBorder="1" applyAlignment="1">
      <alignment horizontal="center" vertical="center" wrapText="1"/>
    </xf>
    <xf numFmtId="0" fontId="60" fillId="16" borderId="1" xfId="0" applyFont="1" applyFill="1" applyBorder="1" applyAlignment="1">
      <alignment horizontal="center" vertical="center" wrapText="1"/>
    </xf>
    <xf numFmtId="0" fontId="92" fillId="16"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56" fillId="18" borderId="1" xfId="0" applyFont="1" applyFill="1" applyBorder="1" applyAlignment="1">
      <alignment horizontal="center" vertical="center" wrapText="1"/>
    </xf>
    <xf numFmtId="0" fontId="54" fillId="16" borderId="1" xfId="0" applyFont="1" applyFill="1" applyBorder="1" applyAlignment="1">
      <alignment horizontal="center" vertical="center" wrapText="1"/>
    </xf>
    <xf numFmtId="0" fontId="39" fillId="3" borderId="2" xfId="0" applyFont="1" applyFill="1" applyBorder="1" applyAlignment="1" applyProtection="1">
      <alignment horizontal="left" vertical="center" wrapText="1"/>
      <protection locked="0"/>
    </xf>
    <xf numFmtId="0" fontId="30" fillId="3" borderId="1" xfId="0" applyFont="1" applyFill="1" applyBorder="1" applyAlignment="1">
      <alignment horizontal="center" vertical="center" wrapText="1"/>
    </xf>
    <xf numFmtId="0" fontId="79" fillId="18" borderId="29" xfId="0" applyFont="1" applyFill="1" applyBorder="1" applyAlignment="1">
      <alignment horizontal="center" vertical="center" wrapText="1"/>
    </xf>
    <xf numFmtId="0" fontId="60" fillId="21" borderId="29" xfId="0" applyFont="1" applyFill="1" applyBorder="1" applyAlignment="1">
      <alignment horizontal="center" vertical="center" wrapText="1"/>
    </xf>
    <xf numFmtId="0" fontId="39" fillId="21" borderId="6" xfId="0" applyFont="1" applyFill="1" applyBorder="1" applyAlignment="1">
      <alignment horizontal="center" vertical="center" wrapText="1"/>
    </xf>
    <xf numFmtId="0" fontId="62" fillId="22" borderId="29" xfId="0" applyFont="1" applyFill="1" applyBorder="1" applyAlignment="1">
      <alignment horizontal="center" vertical="center" wrapText="1"/>
    </xf>
    <xf numFmtId="0" fontId="89" fillId="5" borderId="50" xfId="0" applyFont="1" applyFill="1" applyBorder="1" applyAlignment="1" applyProtection="1">
      <alignment horizontal="center" vertical="center" wrapText="1"/>
      <protection locked="0"/>
    </xf>
    <xf numFmtId="0" fontId="20" fillId="0" borderId="0" xfId="0" applyFont="1" applyAlignment="1">
      <alignment vertical="center"/>
    </xf>
    <xf numFmtId="0" fontId="28" fillId="0" borderId="0" xfId="0" applyFont="1" applyAlignment="1">
      <alignment horizontal="center" vertical="center"/>
    </xf>
    <xf numFmtId="0" fontId="77" fillId="0" borderId="0" xfId="0" applyFont="1" applyAlignment="1">
      <alignment horizontal="center" vertical="center"/>
    </xf>
    <xf numFmtId="0" fontId="9" fillId="23" borderId="2" xfId="245" applyFont="1" applyFill="1" applyBorder="1" applyAlignment="1" applyProtection="1">
      <alignment horizontal="center" vertical="center" wrapText="1"/>
      <protection locked="0"/>
    </xf>
    <xf numFmtId="0" fontId="9" fillId="29" borderId="2" xfId="245" applyFont="1" applyFill="1" applyBorder="1" applyAlignment="1" applyProtection="1">
      <alignment horizontal="center" vertical="center" wrapText="1"/>
      <protection locked="0"/>
    </xf>
    <xf numFmtId="0" fontId="62" fillId="18" borderId="1" xfId="0" applyFont="1" applyFill="1" applyBorder="1" applyAlignment="1">
      <alignment horizontal="center" vertical="center" wrapText="1"/>
    </xf>
    <xf numFmtId="0" fontId="20" fillId="18" borderId="6" xfId="0" applyFont="1" applyFill="1" applyBorder="1" applyAlignment="1">
      <alignment horizontal="center" vertical="center" wrapText="1"/>
    </xf>
    <xf numFmtId="0" fontId="62" fillId="20" borderId="50" xfId="0" applyFont="1" applyFill="1" applyBorder="1" applyAlignment="1">
      <alignment horizontal="center" vertical="center" wrapText="1"/>
    </xf>
    <xf numFmtId="14" fontId="87" fillId="20" borderId="2" xfId="0" applyNumberFormat="1" applyFont="1" applyFill="1" applyBorder="1" applyAlignment="1" applyProtection="1">
      <alignment horizontal="center" vertical="center" wrapText="1"/>
      <protection locked="0"/>
    </xf>
    <xf numFmtId="14" fontId="87" fillId="55" borderId="2" xfId="0" applyNumberFormat="1" applyFont="1" applyFill="1" applyBorder="1" applyAlignment="1" applyProtection="1">
      <alignment horizontal="center" vertical="center" wrapText="1"/>
      <protection locked="0"/>
    </xf>
    <xf numFmtId="14" fontId="87" fillId="24" borderId="2" xfId="0" applyNumberFormat="1" applyFont="1" applyFill="1" applyBorder="1" applyAlignment="1" applyProtection="1">
      <alignment horizontal="center" vertical="center" wrapText="1"/>
      <protection locked="0"/>
    </xf>
    <xf numFmtId="14" fontId="87" fillId="49" borderId="2" xfId="0" applyNumberFormat="1" applyFont="1" applyFill="1" applyBorder="1" applyAlignment="1" applyProtection="1">
      <alignment horizontal="center" vertical="center" wrapText="1"/>
      <protection locked="0"/>
    </xf>
    <xf numFmtId="14" fontId="13" fillId="20" borderId="2" xfId="0" applyNumberFormat="1" applyFont="1" applyFill="1" applyBorder="1" applyAlignment="1" applyProtection="1">
      <alignment horizontal="center" vertical="center" wrapText="1"/>
      <protection locked="0"/>
    </xf>
    <xf numFmtId="14" fontId="13" fillId="49" borderId="2" xfId="0" applyNumberFormat="1" applyFont="1" applyFill="1" applyBorder="1" applyAlignment="1" applyProtection="1">
      <alignment horizontal="center" vertical="center" wrapText="1"/>
      <protection locked="0"/>
    </xf>
    <xf numFmtId="14" fontId="87" fillId="20" borderId="50" xfId="0" applyNumberFormat="1" applyFont="1" applyFill="1" applyBorder="1" applyAlignment="1" applyProtection="1">
      <alignment horizontal="center" vertical="center" wrapText="1"/>
      <protection locked="0"/>
    </xf>
    <xf numFmtId="14" fontId="87" fillId="55" borderId="50" xfId="0" applyNumberFormat="1" applyFont="1" applyFill="1" applyBorder="1" applyAlignment="1" applyProtection="1">
      <alignment horizontal="center" vertical="center" wrapText="1"/>
      <protection locked="0"/>
    </xf>
    <xf numFmtId="14" fontId="87" fillId="24" borderId="50" xfId="0" applyNumberFormat="1" applyFont="1" applyFill="1" applyBorder="1" applyAlignment="1" applyProtection="1">
      <alignment horizontal="center" vertical="center" wrapText="1"/>
      <protection locked="0"/>
    </xf>
    <xf numFmtId="14" fontId="87" fillId="49" borderId="50" xfId="0" applyNumberFormat="1" applyFont="1" applyFill="1" applyBorder="1" applyAlignment="1" applyProtection="1">
      <alignment horizontal="center" vertical="center" wrapText="1"/>
      <protection locked="0"/>
    </xf>
    <xf numFmtId="14" fontId="13" fillId="20" borderId="50" xfId="0" applyNumberFormat="1" applyFont="1" applyFill="1" applyBorder="1" applyAlignment="1" applyProtection="1">
      <alignment horizontal="center" vertical="center" wrapText="1"/>
      <protection locked="0"/>
    </xf>
    <xf numFmtId="14" fontId="13" fillId="49" borderId="50" xfId="0" applyNumberFormat="1" applyFont="1" applyFill="1" applyBorder="1" applyAlignment="1" applyProtection="1">
      <alignment horizontal="center" vertical="center" wrapText="1"/>
      <protection locked="0"/>
    </xf>
    <xf numFmtId="14" fontId="87" fillId="19" borderId="2" xfId="0" applyNumberFormat="1" applyFont="1" applyFill="1" applyBorder="1" applyAlignment="1" applyProtection="1">
      <alignment horizontal="center" vertical="center" wrapText="1"/>
      <protection locked="0"/>
    </xf>
    <xf numFmtId="14" fontId="13" fillId="19" borderId="2" xfId="0" applyNumberFormat="1" applyFont="1" applyFill="1" applyBorder="1" applyAlignment="1" applyProtection="1">
      <alignment horizontal="center" vertical="center" wrapText="1"/>
      <protection locked="0"/>
    </xf>
    <xf numFmtId="14" fontId="87" fillId="19" borderId="50" xfId="0" applyNumberFormat="1" applyFont="1" applyFill="1" applyBorder="1" applyAlignment="1" applyProtection="1">
      <alignment horizontal="center" vertical="center" wrapText="1"/>
      <protection locked="0"/>
    </xf>
    <xf numFmtId="14" fontId="13" fillId="19" borderId="50" xfId="0" applyNumberFormat="1" applyFont="1" applyFill="1" applyBorder="1" applyAlignment="1" applyProtection="1">
      <alignment horizontal="center" vertical="center" wrapText="1"/>
      <protection locked="0"/>
    </xf>
    <xf numFmtId="0" fontId="54" fillId="7" borderId="1" xfId="0" applyFont="1" applyFill="1" applyBorder="1" applyAlignment="1">
      <alignment horizontal="center" vertical="center" textRotation="90" wrapText="1"/>
    </xf>
    <xf numFmtId="0" fontId="54" fillId="2" borderId="1" xfId="0" applyFont="1" applyFill="1" applyBorder="1" applyAlignment="1">
      <alignment horizontal="center" vertical="center" textRotation="90" wrapText="1"/>
    </xf>
    <xf numFmtId="0" fontId="84" fillId="0" borderId="5" xfId="0" applyFont="1" applyBorder="1" applyAlignment="1">
      <alignment horizontal="center" vertical="center" wrapText="1"/>
    </xf>
    <xf numFmtId="0" fontId="55" fillId="0" borderId="0" xfId="0" applyFont="1" applyAlignment="1">
      <alignment horizontal="center" vertical="center" wrapText="1"/>
    </xf>
    <xf numFmtId="0" fontId="42" fillId="0" borderId="0" xfId="0" applyFont="1" applyAlignment="1">
      <alignment horizontal="center" vertical="center" wrapText="1"/>
    </xf>
    <xf numFmtId="0" fontId="41" fillId="0" borderId="0" xfId="0" applyFont="1" applyAlignment="1">
      <alignment horizontal="center" vertical="center" wrapText="1"/>
    </xf>
    <xf numFmtId="0" fontId="59" fillId="0" borderId="0" xfId="0" applyFont="1" applyAlignment="1">
      <alignment horizontal="center" vertical="center" wrapText="1"/>
    </xf>
    <xf numFmtId="0" fontId="39" fillId="0" borderId="0" xfId="0" applyFont="1" applyAlignment="1">
      <alignment vertical="center" wrapText="1"/>
    </xf>
    <xf numFmtId="0" fontId="60" fillId="0" borderId="0" xfId="0" applyFont="1" applyAlignment="1">
      <alignment horizontal="center" vertical="center" wrapText="1"/>
    </xf>
    <xf numFmtId="0" fontId="62" fillId="0" borderId="0" xfId="0" applyFont="1" applyAlignment="1">
      <alignment horizontal="center" vertical="center" wrapText="1"/>
    </xf>
    <xf numFmtId="0" fontId="83" fillId="0" borderId="0" xfId="0" applyFont="1" applyAlignment="1">
      <alignment horizontal="center" vertical="center" wrapText="1"/>
    </xf>
    <xf numFmtId="0" fontId="42" fillId="18" borderId="2" xfId="0" applyFont="1" applyFill="1" applyBorder="1" applyAlignment="1">
      <alignment horizontal="center" vertical="center" wrapText="1"/>
    </xf>
    <xf numFmtId="0" fontId="0" fillId="54" borderId="0" xfId="0" applyFill="1" applyAlignment="1">
      <alignment horizontal="left"/>
    </xf>
    <xf numFmtId="0" fontId="55" fillId="18" borderId="2" xfId="0" applyFont="1" applyFill="1" applyBorder="1" applyAlignment="1">
      <alignment horizontal="center" vertical="center" wrapText="1"/>
    </xf>
    <xf numFmtId="0" fontId="60" fillId="7" borderId="52" xfId="0" applyFont="1" applyFill="1" applyBorder="1" applyAlignment="1">
      <alignment horizontal="center" vertical="center" textRotation="90" wrapText="1"/>
    </xf>
    <xf numFmtId="0" fontId="59" fillId="19" borderId="53" xfId="0" applyFont="1" applyFill="1" applyBorder="1" applyAlignment="1">
      <alignment horizontal="center" vertical="center" wrapText="1"/>
    </xf>
    <xf numFmtId="0" fontId="41" fillId="20" borderId="54" xfId="0" applyFont="1" applyFill="1" applyBorder="1" applyAlignment="1">
      <alignment horizontal="center" vertical="center" wrapText="1"/>
    </xf>
    <xf numFmtId="0" fontId="41" fillId="19" borderId="54" xfId="0" applyFont="1" applyFill="1" applyBorder="1" applyAlignment="1">
      <alignment horizontal="center" vertical="center" wrapText="1"/>
    </xf>
    <xf numFmtId="0" fontId="41" fillId="20" borderId="55" xfId="0" applyFont="1" applyFill="1" applyBorder="1" applyAlignment="1">
      <alignment horizontal="center" vertical="center" wrapText="1"/>
    </xf>
    <xf numFmtId="0" fontId="62" fillId="20" borderId="56" xfId="0" applyFont="1" applyFill="1" applyBorder="1" applyAlignment="1">
      <alignment horizontal="center" vertical="center" wrapText="1"/>
    </xf>
    <xf numFmtId="0" fontId="41" fillId="19" borderId="55" xfId="0" applyFont="1" applyFill="1" applyBorder="1" applyAlignment="1">
      <alignment horizontal="center" vertical="center" wrapText="1"/>
    </xf>
    <xf numFmtId="0" fontId="90" fillId="7" borderId="57" xfId="0" applyFont="1" applyFill="1" applyBorder="1" applyAlignment="1">
      <alignment horizontal="center" vertical="center" wrapText="1"/>
    </xf>
    <xf numFmtId="0" fontId="62" fillId="2" borderId="58" xfId="0" applyFont="1" applyFill="1" applyBorder="1" applyAlignment="1">
      <alignment horizontal="center" vertical="center" wrapText="1"/>
    </xf>
    <xf numFmtId="14" fontId="19" fillId="29" borderId="2" xfId="0" applyNumberFormat="1" applyFont="1" applyFill="1" applyBorder="1" applyAlignment="1" applyProtection="1">
      <alignment horizontal="left" vertical="center" wrapText="1"/>
      <protection locked="0"/>
    </xf>
    <xf numFmtId="14" fontId="19" fillId="18" borderId="2" xfId="0" applyNumberFormat="1" applyFont="1" applyFill="1" applyBorder="1" applyAlignment="1" applyProtection="1">
      <alignment horizontal="left" vertical="center" wrapText="1"/>
      <protection locked="0"/>
    </xf>
    <xf numFmtId="0" fontId="54" fillId="7" borderId="4" xfId="0" applyFont="1" applyFill="1" applyBorder="1" applyAlignment="1">
      <alignment horizontal="center" vertical="center" textRotation="90" wrapText="1"/>
    </xf>
    <xf numFmtId="0" fontId="13" fillId="2" borderId="3" xfId="0" applyFont="1" applyFill="1" applyBorder="1" applyAlignment="1" applyProtection="1">
      <alignment horizontal="center" vertical="center" wrapText="1"/>
      <protection locked="0"/>
    </xf>
    <xf numFmtId="0" fontId="13" fillId="7" borderId="3" xfId="0" applyFont="1" applyFill="1" applyBorder="1" applyAlignment="1" applyProtection="1">
      <alignment horizontal="center" vertical="center" wrapText="1"/>
      <protection locked="0"/>
    </xf>
    <xf numFmtId="0" fontId="30" fillId="54" borderId="0" xfId="0" applyFont="1" applyFill="1" applyAlignment="1">
      <alignment horizontal="left" vertical="center" wrapText="1"/>
    </xf>
    <xf numFmtId="0" fontId="59" fillId="19" borderId="62" xfId="0" applyFont="1" applyFill="1" applyBorder="1" applyAlignment="1">
      <alignment horizontal="center" vertical="center" wrapText="1"/>
    </xf>
    <xf numFmtId="0" fontId="62" fillId="2" borderId="63" xfId="0" applyFont="1" applyFill="1" applyBorder="1" applyAlignment="1">
      <alignment horizontal="center" vertical="center" wrapText="1"/>
    </xf>
    <xf numFmtId="14" fontId="19" fillId="29" borderId="62" xfId="0" applyNumberFormat="1" applyFont="1" applyFill="1" applyBorder="1" applyAlignment="1" applyProtection="1">
      <alignment horizontal="left" vertical="center" wrapText="1"/>
      <protection locked="0"/>
    </xf>
    <xf numFmtId="0" fontId="13" fillId="3" borderId="64" xfId="0" applyFont="1" applyFill="1" applyBorder="1" applyAlignment="1" applyProtection="1">
      <alignment horizontal="center" vertical="center" wrapText="1"/>
      <protection locked="0"/>
    </xf>
    <xf numFmtId="14" fontId="19" fillId="19" borderId="62" xfId="0" applyNumberFormat="1" applyFont="1" applyFill="1" applyBorder="1" applyAlignment="1" applyProtection="1">
      <alignment horizontal="left" vertical="center" wrapText="1"/>
      <protection locked="0"/>
    </xf>
    <xf numFmtId="0" fontId="13" fillId="2" borderId="64" xfId="0" applyFont="1" applyFill="1" applyBorder="1" applyAlignment="1" applyProtection="1">
      <alignment horizontal="center" vertical="center" wrapText="1"/>
      <protection locked="0"/>
    </xf>
    <xf numFmtId="0" fontId="13" fillId="7" borderId="64" xfId="0" applyFont="1" applyFill="1" applyBorder="1" applyAlignment="1" applyProtection="1">
      <alignment horizontal="center" vertical="center" wrapText="1"/>
      <protection locked="0"/>
    </xf>
    <xf numFmtId="14" fontId="19" fillId="0" borderId="62" xfId="0" applyNumberFormat="1" applyFont="1" applyBorder="1" applyAlignment="1" applyProtection="1">
      <alignment horizontal="left" vertical="center" wrapText="1"/>
      <protection locked="0"/>
    </xf>
    <xf numFmtId="0" fontId="0" fillId="3" borderId="1" xfId="0" applyFill="1" applyBorder="1"/>
    <xf numFmtId="0" fontId="0" fillId="3" borderId="1" xfId="0" applyFill="1" applyBorder="1" applyAlignment="1">
      <alignment horizontal="left"/>
    </xf>
    <xf numFmtId="0" fontId="62" fillId="2" borderId="66" xfId="0" applyFont="1" applyFill="1" applyBorder="1" applyAlignment="1">
      <alignment horizontal="center" vertical="center" wrapText="1"/>
    </xf>
    <xf numFmtId="0" fontId="41" fillId="7" borderId="65" xfId="0" applyFont="1" applyFill="1" applyBorder="1" applyAlignment="1">
      <alignment horizontal="center" vertical="center" textRotation="90" wrapText="1"/>
    </xf>
    <xf numFmtId="167" fontId="19" fillId="59" borderId="2" xfId="0" applyNumberFormat="1" applyFont="1" applyFill="1" applyBorder="1" applyAlignment="1" applyProtection="1">
      <alignment horizontal="center" vertical="center" wrapText="1"/>
      <protection locked="0"/>
    </xf>
    <xf numFmtId="0" fontId="19" fillId="9" borderId="1" xfId="0" applyFont="1" applyFill="1" applyBorder="1" applyAlignment="1">
      <alignment horizontal="center" vertical="center"/>
    </xf>
    <xf numFmtId="0" fontId="72" fillId="3" borderId="29" xfId="0" applyFont="1" applyFill="1" applyBorder="1" applyAlignment="1">
      <alignment horizontal="center" vertical="center" wrapText="1"/>
    </xf>
    <xf numFmtId="0" fontId="39" fillId="18" borderId="6" xfId="0" applyFont="1" applyFill="1" applyBorder="1" applyAlignment="1">
      <alignment horizontal="center" vertical="center" wrapText="1"/>
    </xf>
    <xf numFmtId="0" fontId="92" fillId="18" borderId="1" xfId="0" applyFont="1" applyFill="1" applyBorder="1" applyAlignment="1">
      <alignment horizontal="center" vertical="center" wrapText="1"/>
    </xf>
    <xf numFmtId="0" fontId="60" fillId="16" borderId="6" xfId="0" applyFont="1" applyFill="1" applyBorder="1" applyAlignment="1">
      <alignment horizontal="center" vertical="center" wrapText="1"/>
    </xf>
    <xf numFmtId="0" fontId="59" fillId="2" borderId="14" xfId="0" applyFont="1" applyFill="1" applyBorder="1" applyAlignment="1">
      <alignment horizontal="center" vertical="center" wrapText="1"/>
    </xf>
    <xf numFmtId="0" fontId="38" fillId="9" borderId="1" xfId="0" applyFont="1" applyFill="1" applyBorder="1" applyAlignment="1">
      <alignment horizontal="center" vertical="center"/>
    </xf>
    <xf numFmtId="0" fontId="0" fillId="7" borderId="1" xfId="0" applyFill="1" applyBorder="1"/>
    <xf numFmtId="0" fontId="14" fillId="2" borderId="1" xfId="0" applyFont="1" applyFill="1" applyBorder="1" applyAlignment="1">
      <alignment horizontal="center" vertical="center"/>
    </xf>
    <xf numFmtId="0" fontId="0" fillId="2" borderId="1" xfId="0" applyFill="1" applyBorder="1"/>
    <xf numFmtId="0" fontId="23" fillId="17" borderId="2" xfId="0" applyFont="1" applyFill="1" applyBorder="1" applyAlignment="1">
      <alignment horizontal="center" vertical="center"/>
    </xf>
    <xf numFmtId="0" fontId="36" fillId="17" borderId="2" xfId="0" applyFont="1" applyFill="1" applyBorder="1" applyAlignment="1">
      <alignment horizontal="center" vertical="center"/>
    </xf>
    <xf numFmtId="0" fontId="26" fillId="4" borderId="0" xfId="0" applyFont="1" applyFill="1" applyAlignment="1">
      <alignment horizontal="left" vertical="center"/>
    </xf>
    <xf numFmtId="0" fontId="2" fillId="2" borderId="1" xfId="0" applyFont="1" applyFill="1" applyBorder="1"/>
    <xf numFmtId="0" fontId="0" fillId="7" borderId="3" xfId="0" applyFill="1" applyBorder="1"/>
    <xf numFmtId="0" fontId="15" fillId="4" borderId="0" xfId="0" applyFont="1" applyFill="1" applyAlignment="1">
      <alignment horizontal="left" vertical="center"/>
    </xf>
    <xf numFmtId="0" fontId="0" fillId="5" borderId="0" xfId="0" applyFill="1"/>
    <xf numFmtId="14" fontId="13" fillId="2" borderId="64" xfId="0" applyNumberFormat="1" applyFont="1" applyFill="1" applyBorder="1" applyAlignment="1" applyProtection="1">
      <alignment horizontal="center" vertical="center" wrapText="1"/>
      <protection locked="0"/>
    </xf>
    <xf numFmtId="14" fontId="13" fillId="3" borderId="64" xfId="0" applyNumberFormat="1" applyFont="1" applyFill="1" applyBorder="1" applyAlignment="1" applyProtection="1">
      <alignment horizontal="center" vertical="center" wrapText="1"/>
      <protection locked="0"/>
    </xf>
    <xf numFmtId="14" fontId="19" fillId="16" borderId="2" xfId="0" applyNumberFormat="1" applyFont="1" applyFill="1" applyBorder="1" applyAlignment="1" applyProtection="1">
      <alignment horizontal="left" vertical="center" wrapText="1"/>
      <protection locked="0"/>
    </xf>
    <xf numFmtId="0" fontId="98" fillId="0" borderId="0" xfId="0" applyFont="1" applyAlignment="1">
      <alignment horizontal="left" vertical="center" wrapText="1" indent="1"/>
    </xf>
    <xf numFmtId="0" fontId="98" fillId="29" borderId="0" xfId="0" applyFont="1" applyFill="1" applyAlignment="1">
      <alignment horizontal="left" vertical="center" wrapText="1" indent="1"/>
    </xf>
    <xf numFmtId="0" fontId="40" fillId="4" borderId="0" xfId="0" applyFont="1" applyFill="1"/>
    <xf numFmtId="0" fontId="99" fillId="4" borderId="0" xfId="0" applyFont="1" applyFill="1"/>
    <xf numFmtId="0" fontId="4" fillId="16" borderId="1" xfId="0" applyFont="1" applyFill="1" applyBorder="1" applyAlignment="1" applyProtection="1">
      <alignment horizontal="left" vertical="center" wrapText="1"/>
      <protection locked="0"/>
    </xf>
    <xf numFmtId="0" fontId="4" fillId="50" borderId="1" xfId="0" applyFont="1" applyFill="1" applyBorder="1" applyAlignment="1" applyProtection="1">
      <alignment horizontal="left" vertical="center" wrapText="1"/>
      <protection locked="0"/>
    </xf>
    <xf numFmtId="0" fontId="13" fillId="16" borderId="1" xfId="0" applyFont="1" applyFill="1" applyBorder="1" applyAlignment="1" applyProtection="1">
      <alignment vertical="center"/>
      <protection locked="0"/>
    </xf>
    <xf numFmtId="0" fontId="9" fillId="50" borderId="1" xfId="245" applyFont="1" applyFill="1" applyBorder="1" applyAlignment="1" applyProtection="1">
      <alignment horizontal="center" vertical="center" wrapText="1"/>
      <protection locked="0"/>
    </xf>
    <xf numFmtId="0" fontId="9" fillId="15" borderId="1" xfId="245" applyFont="1" applyFill="1" applyBorder="1" applyAlignment="1" applyProtection="1">
      <alignment horizontal="center" vertical="center" wrapText="1"/>
      <protection locked="0"/>
    </xf>
    <xf numFmtId="0" fontId="56" fillId="19" borderId="2" xfId="0" applyFont="1" applyFill="1" applyBorder="1" applyAlignment="1" applyProtection="1">
      <alignment horizontal="center" vertical="center" wrapText="1"/>
      <protection locked="0"/>
    </xf>
    <xf numFmtId="0" fontId="56" fillId="51" borderId="1" xfId="0" applyFont="1" applyFill="1" applyBorder="1" applyAlignment="1" applyProtection="1">
      <alignment horizontal="center" vertical="center" wrapText="1"/>
      <protection locked="0"/>
    </xf>
    <xf numFmtId="0" fontId="56" fillId="19" borderId="1" xfId="0" applyFont="1" applyFill="1" applyBorder="1" applyAlignment="1" applyProtection="1">
      <alignment horizontal="center" vertical="center" wrapText="1"/>
      <protection locked="0"/>
    </xf>
    <xf numFmtId="0" fontId="9" fillId="16" borderId="2" xfId="245" applyFont="1" applyFill="1" applyBorder="1" applyAlignment="1" applyProtection="1">
      <alignment horizontal="center" vertical="center" wrapText="1"/>
      <protection locked="0"/>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14" fontId="13" fillId="5" borderId="1" xfId="0" applyNumberFormat="1" applyFont="1" applyFill="1" applyBorder="1" applyAlignment="1" applyProtection="1">
      <alignment horizontal="center" vertical="center" wrapText="1"/>
      <protection locked="0"/>
    </xf>
    <xf numFmtId="14" fontId="19" fillId="5" borderId="2" xfId="0" applyNumberFormat="1" applyFont="1" applyFill="1" applyBorder="1" applyAlignment="1" applyProtection="1">
      <alignment horizontal="left" vertical="center" wrapText="1"/>
      <protection locked="0"/>
    </xf>
    <xf numFmtId="0" fontId="59" fillId="7" borderId="29" xfId="0" applyFont="1" applyFill="1" applyBorder="1" applyAlignment="1">
      <alignment horizontal="center" vertical="center" wrapText="1"/>
    </xf>
    <xf numFmtId="0" fontId="59" fillId="2" borderId="29" xfId="0" applyFont="1" applyFill="1" applyBorder="1" applyAlignment="1">
      <alignment horizontal="center" vertical="center" wrapText="1"/>
    </xf>
    <xf numFmtId="0" fontId="59" fillId="2" borderId="1" xfId="0" applyFont="1" applyFill="1" applyBorder="1" applyAlignment="1">
      <alignment horizontal="center" vertical="center" wrapText="1"/>
    </xf>
    <xf numFmtId="0" fontId="102" fillId="2" borderId="29" xfId="0" applyFont="1" applyFill="1" applyBorder="1" applyAlignment="1">
      <alignment horizontal="center" vertical="center" wrapText="1"/>
    </xf>
    <xf numFmtId="0" fontId="102" fillId="2" borderId="1" xfId="0" applyFont="1" applyFill="1" applyBorder="1" applyAlignment="1">
      <alignment horizontal="center" vertical="center" wrapText="1"/>
    </xf>
    <xf numFmtId="0" fontId="102" fillId="7" borderId="29" xfId="0" applyFont="1" applyFill="1" applyBorder="1" applyAlignment="1">
      <alignment horizontal="center" vertical="center" wrapText="1"/>
    </xf>
    <xf numFmtId="0" fontId="102" fillId="59" borderId="29" xfId="0" applyFont="1" applyFill="1" applyBorder="1" applyAlignment="1">
      <alignment horizontal="center" vertical="center" wrapText="1"/>
    </xf>
    <xf numFmtId="0" fontId="102" fillId="7" borderId="1" xfId="0" applyFont="1" applyFill="1" applyBorder="1" applyAlignment="1">
      <alignment horizontal="center" vertical="center" wrapText="1"/>
    </xf>
    <xf numFmtId="0" fontId="0" fillId="9" borderId="2" xfId="0" applyFill="1" applyBorder="1" applyAlignment="1">
      <alignment vertical="center" wrapText="1"/>
    </xf>
    <xf numFmtId="0" fontId="0" fillId="9" borderId="3" xfId="0" applyFill="1" applyBorder="1" applyAlignment="1">
      <alignment vertical="center" wrapText="1"/>
    </xf>
    <xf numFmtId="0" fontId="0" fillId="9" borderId="4" xfId="0" applyFill="1" applyBorder="1" applyAlignment="1">
      <alignment vertical="center" wrapText="1"/>
    </xf>
    <xf numFmtId="0" fontId="0" fillId="18" borderId="2" xfId="0" applyFill="1" applyBorder="1" applyAlignment="1">
      <alignment vertical="center" wrapText="1"/>
    </xf>
    <xf numFmtId="0" fontId="0" fillId="18" borderId="3" xfId="0" applyFill="1" applyBorder="1" applyAlignment="1">
      <alignment vertical="center" wrapText="1"/>
    </xf>
    <xf numFmtId="0" fontId="0" fillId="18" borderId="4" xfId="0" applyFill="1" applyBorder="1" applyAlignment="1">
      <alignment vertical="center" wrapText="1"/>
    </xf>
    <xf numFmtId="0" fontId="0" fillId="18" borderId="1" xfId="0" applyFill="1" applyBorder="1" applyAlignment="1">
      <alignment vertical="center" wrapText="1"/>
    </xf>
    <xf numFmtId="0" fontId="0" fillId="3" borderId="1" xfId="0" applyFill="1" applyBorder="1" applyAlignment="1">
      <alignment vertical="center" wrapText="1"/>
    </xf>
    <xf numFmtId="0" fontId="14" fillId="2" borderId="36"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37" xfId="0" applyFont="1" applyFill="1" applyBorder="1" applyAlignment="1">
      <alignment horizontal="center" vertical="center"/>
    </xf>
    <xf numFmtId="0" fontId="0" fillId="19" borderId="1" xfId="0" applyFill="1" applyBorder="1" applyAlignment="1">
      <alignment vertical="center" wrapText="1"/>
    </xf>
    <xf numFmtId="0" fontId="0" fillId="36" borderId="1" xfId="0" applyFill="1" applyBorder="1" applyAlignment="1">
      <alignment vertical="center" wrapText="1"/>
    </xf>
    <xf numFmtId="0" fontId="0" fillId="19" borderId="2" xfId="0" applyFill="1" applyBorder="1" applyAlignment="1">
      <alignment vertical="center" wrapText="1"/>
    </xf>
    <xf numFmtId="0" fontId="0" fillId="19" borderId="3" xfId="0" applyFill="1" applyBorder="1" applyAlignment="1">
      <alignment vertical="center" wrapText="1"/>
    </xf>
    <xf numFmtId="0" fontId="0" fillId="19" borderId="4" xfId="0" applyFill="1" applyBorder="1" applyAlignment="1">
      <alignment vertical="center" wrapText="1"/>
    </xf>
    <xf numFmtId="0" fontId="53" fillId="4" borderId="0" xfId="0" applyFont="1" applyFill="1" applyAlignment="1">
      <alignment horizontal="center" vertical="center" wrapText="1"/>
    </xf>
    <xf numFmtId="0" fontId="24" fillId="6" borderId="5" xfId="0" applyFont="1" applyFill="1" applyBorder="1" applyAlignment="1">
      <alignment vertical="center" wrapText="1"/>
    </xf>
    <xf numFmtId="0" fontId="24" fillId="6" borderId="0" xfId="0" applyFont="1" applyFill="1" applyAlignment="1">
      <alignment vertical="center" wrapText="1"/>
    </xf>
    <xf numFmtId="0" fontId="17" fillId="9" borderId="32" xfId="0" applyFont="1" applyFill="1" applyBorder="1"/>
    <xf numFmtId="0" fontId="17" fillId="9" borderId="31" xfId="0" applyFont="1" applyFill="1" applyBorder="1"/>
    <xf numFmtId="0" fontId="17" fillId="9" borderId="22" xfId="0" applyFont="1" applyFill="1" applyBorder="1"/>
    <xf numFmtId="0" fontId="17" fillId="6" borderId="23" xfId="0" applyFont="1" applyFill="1" applyBorder="1"/>
    <xf numFmtId="0" fontId="17" fillId="6" borderId="24" xfId="0" applyFont="1" applyFill="1" applyBorder="1"/>
    <xf numFmtId="0" fontId="17" fillId="9" borderId="27" xfId="0" applyFont="1" applyFill="1" applyBorder="1"/>
    <xf numFmtId="0" fontId="17" fillId="9" borderId="28" xfId="0" applyFont="1" applyFill="1" applyBorder="1"/>
    <xf numFmtId="0" fontId="17" fillId="9" borderId="16" xfId="0" applyFont="1" applyFill="1" applyBorder="1"/>
    <xf numFmtId="0" fontId="17" fillId="6" borderId="17" xfId="0" applyFont="1" applyFill="1" applyBorder="1"/>
    <xf numFmtId="0" fontId="17" fillId="6" borderId="18" xfId="0" applyFont="1" applyFill="1" applyBorder="1"/>
    <xf numFmtId="0" fontId="17" fillId="9" borderId="19" xfId="0" applyFont="1" applyFill="1" applyBorder="1"/>
    <xf numFmtId="0" fontId="17" fillId="9" borderId="3" xfId="0" applyFont="1" applyFill="1" applyBorder="1"/>
    <xf numFmtId="0" fontId="17" fillId="9" borderId="4" xfId="0" applyFont="1" applyFill="1" applyBorder="1"/>
    <xf numFmtId="0" fontId="17" fillId="9" borderId="1" xfId="0" applyFont="1" applyFill="1" applyBorder="1"/>
    <xf numFmtId="0" fontId="17" fillId="6" borderId="2" xfId="0" applyFont="1" applyFill="1" applyBorder="1"/>
    <xf numFmtId="0" fontId="17" fillId="6" borderId="3" xfId="0" applyFont="1" applyFill="1" applyBorder="1"/>
    <xf numFmtId="0" fontId="17" fillId="6" borderId="4" xfId="0" applyFont="1" applyFill="1" applyBorder="1"/>
    <xf numFmtId="0" fontId="17" fillId="9" borderId="2" xfId="0" applyFont="1" applyFill="1" applyBorder="1"/>
    <xf numFmtId="0" fontId="17" fillId="6" borderId="1" xfId="0" applyFont="1" applyFill="1" applyBorder="1"/>
    <xf numFmtId="0" fontId="17" fillId="6" borderId="20" xfId="0" applyFont="1" applyFill="1" applyBorder="1"/>
    <xf numFmtId="0" fontId="17" fillId="9" borderId="15" xfId="0" applyFont="1" applyFill="1" applyBorder="1"/>
    <xf numFmtId="0" fontId="17" fillId="9" borderId="17" xfId="0" applyFont="1" applyFill="1" applyBorder="1"/>
    <xf numFmtId="0" fontId="17" fillId="6" borderId="27" xfId="0" applyFont="1" applyFill="1" applyBorder="1"/>
    <xf numFmtId="0" fontId="17" fillId="6" borderId="28" xfId="0" applyFont="1" applyFill="1" applyBorder="1"/>
    <xf numFmtId="0" fontId="17" fillId="6" borderId="16" xfId="0" applyFont="1" applyFill="1" applyBorder="1"/>
    <xf numFmtId="0" fontId="2" fillId="0" borderId="0" xfId="0" applyFont="1" applyAlignment="1">
      <alignment vertical="center" wrapText="1"/>
    </xf>
    <xf numFmtId="0" fontId="20" fillId="32" borderId="33" xfId="0" applyFont="1" applyFill="1" applyBorder="1" applyAlignment="1">
      <alignment vertical="center" wrapText="1"/>
    </xf>
    <xf numFmtId="0" fontId="20" fillId="32" borderId="25" xfId="0" applyFont="1" applyFill="1" applyBorder="1" applyAlignment="1">
      <alignment vertical="center" wrapText="1"/>
    </xf>
    <xf numFmtId="0" fontId="20" fillId="32" borderId="34" xfId="0" applyFont="1" applyFill="1" applyBorder="1" applyAlignment="1">
      <alignment vertical="center" wrapText="1"/>
    </xf>
    <xf numFmtId="0" fontId="22" fillId="33" borderId="26" xfId="0" applyFont="1" applyFill="1" applyBorder="1"/>
    <xf numFmtId="0" fontId="0" fillId="0" borderId="26" xfId="0" applyBorder="1"/>
    <xf numFmtId="0" fontId="0" fillId="33" borderId="26" xfId="0" applyFill="1" applyBorder="1"/>
    <xf numFmtId="0" fontId="0" fillId="9" borderId="1" xfId="0" applyFill="1" applyBorder="1" applyAlignment="1">
      <alignment vertical="center" wrapText="1"/>
    </xf>
    <xf numFmtId="0" fontId="0" fillId="9" borderId="2" xfId="0" applyFill="1" applyBorder="1"/>
    <xf numFmtId="0" fontId="0" fillId="9" borderId="3" xfId="0" applyFill="1" applyBorder="1"/>
    <xf numFmtId="0" fontId="0" fillId="9" borderId="4" xfId="0" applyFill="1" applyBorder="1"/>
    <xf numFmtId="0" fontId="65" fillId="4" borderId="0" xfId="0" applyFont="1" applyFill="1" applyAlignment="1">
      <alignment horizontal="center" vertical="center" wrapText="1"/>
    </xf>
    <xf numFmtId="0" fontId="67" fillId="30" borderId="0" xfId="0" applyFont="1" applyFill="1" applyAlignment="1">
      <alignment horizontal="left" vertical="center"/>
    </xf>
    <xf numFmtId="0" fontId="17" fillId="9" borderId="21" xfId="0" applyFont="1" applyFill="1" applyBorder="1"/>
    <xf numFmtId="0" fontId="17" fillId="9" borderId="23" xfId="0" applyFont="1" applyFill="1" applyBorder="1"/>
    <xf numFmtId="0" fontId="17" fillId="6" borderId="32" xfId="0" applyFont="1" applyFill="1" applyBorder="1"/>
    <xf numFmtId="0" fontId="17" fillId="6" borderId="31" xfId="0" applyFont="1" applyFill="1" applyBorder="1"/>
    <xf numFmtId="0" fontId="17" fillId="6" borderId="22" xfId="0" applyFont="1" applyFill="1" applyBorder="1"/>
    <xf numFmtId="0" fontId="22" fillId="33" borderId="1" xfId="0" applyFont="1" applyFill="1" applyBorder="1" applyAlignment="1">
      <alignment vertical="center"/>
    </xf>
    <xf numFmtId="0" fontId="76" fillId="0" borderId="1" xfId="0" applyFont="1" applyBorder="1" applyAlignment="1" applyProtection="1">
      <alignment horizontal="center" vertical="center" wrapText="1"/>
      <protection locked="0"/>
    </xf>
    <xf numFmtId="0" fontId="76" fillId="0" borderId="1" xfId="0" applyFont="1" applyBorder="1" applyAlignment="1">
      <alignment horizontal="center" vertical="center" wrapText="1"/>
    </xf>
    <xf numFmtId="0" fontId="0" fillId="33" borderId="1" xfId="0" applyFill="1" applyBorder="1" applyAlignment="1">
      <alignment horizontal="left"/>
    </xf>
    <xf numFmtId="0" fontId="0" fillId="0" borderId="26" xfId="0" applyBorder="1" applyAlignment="1">
      <alignment horizontal="left"/>
    </xf>
    <xf numFmtId="0" fontId="22" fillId="33" borderId="1" xfId="0" applyFont="1" applyFill="1" applyBorder="1"/>
    <xf numFmtId="0" fontId="33" fillId="0" borderId="1" xfId="0" applyFont="1" applyBorder="1" applyAlignment="1">
      <alignment vertical="center" wrapText="1"/>
    </xf>
    <xf numFmtId="0" fontId="0" fillId="33" borderId="1" xfId="0" applyFill="1" applyBorder="1" applyAlignment="1">
      <alignment horizontal="left" vertical="top"/>
    </xf>
    <xf numFmtId="0" fontId="0" fillId="0" borderId="1" xfId="0" applyBorder="1" applyAlignment="1">
      <alignment vertical="center" wrapText="1"/>
    </xf>
    <xf numFmtId="0" fontId="0" fillId="33" borderId="1" xfId="0" applyFill="1" applyBorder="1"/>
    <xf numFmtId="0" fontId="0" fillId="7" borderId="1" xfId="0" applyFill="1" applyBorder="1" applyAlignment="1">
      <alignment vertical="center" wrapText="1"/>
    </xf>
    <xf numFmtId="0" fontId="0" fillId="38" borderId="1" xfId="0" applyFill="1" applyBorder="1" applyAlignment="1">
      <alignment vertical="center" wrapText="1"/>
    </xf>
    <xf numFmtId="0" fontId="0" fillId="9" borderId="2" xfId="0" applyFill="1" applyBorder="1" applyAlignment="1">
      <alignment horizontal="left" vertical="center"/>
    </xf>
    <xf numFmtId="0" fontId="0" fillId="9" borderId="3" xfId="0" applyFill="1" applyBorder="1" applyAlignment="1">
      <alignment horizontal="left" vertical="center"/>
    </xf>
    <xf numFmtId="0" fontId="0" fillId="9" borderId="4" xfId="0" applyFill="1" applyBorder="1" applyAlignment="1">
      <alignment horizontal="left" vertical="center"/>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9" borderId="4" xfId="0" applyFill="1" applyBorder="1" applyAlignment="1">
      <alignment horizontal="left" vertical="top" wrapText="1"/>
    </xf>
    <xf numFmtId="0" fontId="82" fillId="5" borderId="6" xfId="0" applyFont="1" applyFill="1" applyBorder="1" applyAlignment="1">
      <alignment horizontal="left" vertical="center"/>
    </xf>
    <xf numFmtId="0" fontId="82" fillId="5" borderId="7" xfId="0" applyFont="1" applyFill="1" applyBorder="1" applyAlignment="1">
      <alignment horizontal="left" vertical="center"/>
    </xf>
    <xf numFmtId="0" fontId="82" fillId="5" borderId="8" xfId="0" applyFont="1" applyFill="1" applyBorder="1" applyAlignment="1">
      <alignment horizontal="left" vertical="center"/>
    </xf>
    <xf numFmtId="0" fontId="82" fillId="5" borderId="5" xfId="0" applyFont="1" applyFill="1" applyBorder="1" applyAlignment="1">
      <alignment horizontal="left" vertical="center"/>
    </xf>
    <xf numFmtId="0" fontId="82" fillId="5" borderId="0" xfId="0" applyFont="1" applyFill="1" applyAlignment="1">
      <alignment horizontal="left" vertical="center"/>
    </xf>
    <xf numFmtId="0" fontId="82" fillId="5" borderId="13" xfId="0" applyFont="1" applyFill="1" applyBorder="1" applyAlignment="1">
      <alignment horizontal="left" vertical="center"/>
    </xf>
    <xf numFmtId="0" fontId="82" fillId="5" borderId="9" xfId="0" applyFont="1" applyFill="1" applyBorder="1" applyAlignment="1">
      <alignment horizontal="left" vertical="center"/>
    </xf>
    <xf numFmtId="0" fontId="82" fillId="5" borderId="10" xfId="0" applyFont="1" applyFill="1" applyBorder="1" applyAlignment="1">
      <alignment horizontal="left" vertical="center"/>
    </xf>
    <xf numFmtId="0" fontId="82" fillId="5" borderId="11" xfId="0" applyFont="1" applyFill="1" applyBorder="1" applyAlignment="1">
      <alignment horizontal="left" vertical="center"/>
    </xf>
    <xf numFmtId="0" fontId="21" fillId="2" borderId="38" xfId="0" applyFont="1" applyFill="1" applyBorder="1" applyAlignment="1">
      <alignment horizontal="center" vertical="center"/>
    </xf>
    <xf numFmtId="0" fontId="21" fillId="2" borderId="39" xfId="0" applyFont="1" applyFill="1" applyBorder="1" applyAlignment="1">
      <alignment horizontal="center" vertical="center"/>
    </xf>
    <xf numFmtId="0" fontId="21" fillId="2" borderId="40" xfId="0" applyFont="1" applyFill="1" applyBorder="1" applyAlignment="1">
      <alignment horizontal="center" vertical="center"/>
    </xf>
    <xf numFmtId="0" fontId="0" fillId="34" borderId="1" xfId="0" applyFill="1" applyBorder="1" applyAlignment="1">
      <alignment vertical="center" wrapText="1"/>
    </xf>
    <xf numFmtId="0" fontId="19" fillId="35" borderId="1" xfId="0" applyFont="1" applyFill="1" applyBorder="1" applyAlignment="1">
      <alignment vertical="center" wrapText="1"/>
    </xf>
    <xf numFmtId="0" fontId="80" fillId="35" borderId="1" xfId="0" applyFont="1" applyFill="1" applyBorder="1" applyAlignment="1">
      <alignment vertical="center" wrapText="1"/>
    </xf>
    <xf numFmtId="0" fontId="38" fillId="9" borderId="2" xfId="0" applyFont="1" applyFill="1" applyBorder="1" applyAlignment="1" applyProtection="1">
      <alignment horizontal="center" vertical="center" wrapText="1"/>
      <protection locked="0"/>
    </xf>
    <xf numFmtId="0" fontId="38" fillId="9" borderId="3" xfId="0" applyFont="1" applyFill="1" applyBorder="1" applyAlignment="1" applyProtection="1">
      <alignment horizontal="center" vertical="center" wrapText="1"/>
      <protection locked="0"/>
    </xf>
    <xf numFmtId="0" fontId="38" fillId="9" borderId="4" xfId="0" applyFont="1" applyFill="1" applyBorder="1" applyAlignment="1" applyProtection="1">
      <alignment horizontal="center" vertical="center" wrapText="1"/>
      <protection locked="0"/>
    </xf>
    <xf numFmtId="0" fontId="26" fillId="4" borderId="43" xfId="0" applyFont="1" applyFill="1" applyBorder="1" applyAlignment="1">
      <alignment horizontal="left" vertical="center" wrapText="1"/>
    </xf>
    <xf numFmtId="0" fontId="26" fillId="4" borderId="10" xfId="0" applyFont="1" applyFill="1" applyBorder="1" applyAlignment="1">
      <alignment horizontal="left" vertical="center" wrapText="1"/>
    </xf>
    <xf numFmtId="0" fontId="0" fillId="3" borderId="2" xfId="0" applyFill="1" applyBorder="1" applyProtection="1">
      <protection locked="0"/>
    </xf>
    <xf numFmtId="0" fontId="0" fillId="3" borderId="3" xfId="0" applyFill="1" applyBorder="1" applyProtection="1">
      <protection locked="0"/>
    </xf>
    <xf numFmtId="0" fontId="0" fillId="3" borderId="4" xfId="0" applyFill="1" applyBorder="1" applyProtection="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0" fillId="3" borderId="2" xfId="0" applyFill="1" applyBorder="1" applyAlignment="1" applyProtection="1">
      <alignment wrapText="1"/>
      <protection locked="0"/>
    </xf>
    <xf numFmtId="0" fontId="0" fillId="3" borderId="3" xfId="0" applyFill="1" applyBorder="1" applyAlignment="1" applyProtection="1">
      <alignment wrapText="1"/>
      <protection locked="0"/>
    </xf>
    <xf numFmtId="0" fontId="0" fillId="3" borderId="4" xfId="0" applyFill="1" applyBorder="1" applyAlignment="1" applyProtection="1">
      <alignment wrapText="1"/>
      <protection locked="0"/>
    </xf>
    <xf numFmtId="0" fontId="0" fillId="2" borderId="2" xfId="0" applyFill="1" applyBorder="1"/>
    <xf numFmtId="0" fontId="0" fillId="2" borderId="3" xfId="0" applyFill="1" applyBorder="1"/>
    <xf numFmtId="0" fontId="0" fillId="2" borderId="4" xfId="0" applyFill="1" applyBorder="1"/>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6" xfId="0" applyFont="1" applyFill="1" applyBorder="1" applyAlignment="1">
      <alignment horizontal="center" vertical="center"/>
    </xf>
    <xf numFmtId="0" fontId="27" fillId="10" borderId="5" xfId="0" applyFont="1" applyFill="1" applyBorder="1" applyAlignment="1">
      <alignment horizontal="left" vertical="center"/>
    </xf>
    <xf numFmtId="0" fontId="27" fillId="10" borderId="0" xfId="0" applyFont="1" applyFill="1" applyAlignment="1">
      <alignment horizontal="left" vertical="center"/>
    </xf>
    <xf numFmtId="0" fontId="27" fillId="10" borderId="13" xfId="0" applyFont="1" applyFill="1" applyBorder="1" applyAlignment="1">
      <alignment horizontal="left" vertical="center"/>
    </xf>
    <xf numFmtId="0" fontId="5" fillId="2" borderId="5" xfId="0" applyFont="1" applyFill="1" applyBorder="1" applyAlignment="1" applyProtection="1">
      <alignment horizontal="left" vertical="center" wrapText="1"/>
      <protection locked="0"/>
    </xf>
    <xf numFmtId="0" fontId="5" fillId="2" borderId="0" xfId="0" applyFont="1" applyFill="1" applyAlignment="1" applyProtection="1">
      <alignment horizontal="left" vertical="center" wrapText="1"/>
      <protection locked="0"/>
    </xf>
    <xf numFmtId="0" fontId="5" fillId="2" borderId="13" xfId="0" applyFont="1" applyFill="1" applyBorder="1" applyAlignment="1" applyProtection="1">
      <alignment horizontal="left" vertical="center" wrapText="1"/>
      <protection locked="0"/>
    </xf>
    <xf numFmtId="0" fontId="5" fillId="2" borderId="9" xfId="0" applyFont="1" applyFill="1" applyBorder="1" applyAlignment="1" applyProtection="1">
      <alignment horizontal="left" vertical="center" wrapText="1"/>
      <protection locked="0"/>
    </xf>
    <xf numFmtId="0" fontId="5" fillId="2" borderId="10" xfId="0" applyFont="1" applyFill="1" applyBorder="1" applyAlignment="1" applyProtection="1">
      <alignment horizontal="left" vertical="center" wrapText="1"/>
      <protection locked="0"/>
    </xf>
    <xf numFmtId="0" fontId="5" fillId="2" borderId="11" xfId="0" applyFont="1" applyFill="1" applyBorder="1" applyAlignment="1" applyProtection="1">
      <alignment horizontal="left" vertical="center" wrapText="1"/>
      <protection locked="0"/>
    </xf>
    <xf numFmtId="0" fontId="27" fillId="10" borderId="6" xfId="0" applyFont="1" applyFill="1" applyBorder="1" applyAlignment="1">
      <alignment horizontal="left" vertical="center"/>
    </xf>
    <xf numFmtId="0" fontId="27" fillId="10" borderId="7" xfId="0" applyFont="1" applyFill="1" applyBorder="1" applyAlignment="1">
      <alignment horizontal="left" vertical="center"/>
    </xf>
    <xf numFmtId="0" fontId="27" fillId="10" borderId="8" xfId="0" applyFont="1" applyFill="1" applyBorder="1" applyAlignment="1">
      <alignment horizontal="left"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5" xfId="0" applyFont="1" applyFill="1" applyBorder="1" applyAlignment="1">
      <alignment horizontal="center" vertical="top"/>
    </xf>
    <xf numFmtId="0" fontId="14" fillId="2" borderId="0" xfId="0" applyFont="1" applyFill="1" applyAlignment="1">
      <alignment horizontal="center" vertical="top"/>
    </xf>
    <xf numFmtId="0" fontId="14" fillId="2" borderId="13" xfId="0" applyFont="1" applyFill="1" applyBorder="1" applyAlignment="1">
      <alignment horizontal="center" vertical="top"/>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11" xfId="0" applyFont="1" applyFill="1" applyBorder="1" applyAlignment="1">
      <alignment horizontal="center" vertical="center"/>
    </xf>
    <xf numFmtId="0" fontId="28" fillId="7" borderId="5" xfId="0" applyFont="1" applyFill="1" applyBorder="1" applyAlignment="1">
      <alignment horizontal="center" vertical="center"/>
    </xf>
    <xf numFmtId="0" fontId="28" fillId="7" borderId="0" xfId="0" applyFont="1" applyFill="1" applyAlignment="1">
      <alignment horizontal="center" vertical="center"/>
    </xf>
    <xf numFmtId="0" fontId="26" fillId="4" borderId="7" xfId="0" applyFont="1" applyFill="1" applyBorder="1" applyAlignment="1">
      <alignment horizontal="left" vertical="center"/>
    </xf>
    <xf numFmtId="0" fontId="2" fillId="7" borderId="2" xfId="0" applyFont="1" applyFill="1" applyBorder="1"/>
    <xf numFmtId="0" fontId="2" fillId="7" borderId="3" xfId="0" applyFont="1" applyFill="1" applyBorder="1"/>
    <xf numFmtId="0" fontId="2" fillId="7" borderId="4" xfId="0" applyFont="1" applyFill="1" applyBorder="1"/>
    <xf numFmtId="0" fontId="0" fillId="7" borderId="2" xfId="0" applyFill="1" applyBorder="1" applyAlignment="1" applyProtection="1">
      <alignment vertical="center"/>
      <protection locked="0"/>
    </xf>
    <xf numFmtId="0" fontId="0" fillId="7" borderId="3" xfId="0" applyFill="1" applyBorder="1" applyAlignment="1" applyProtection="1">
      <alignment vertical="center"/>
      <protection locked="0"/>
    </xf>
    <xf numFmtId="0" fontId="0" fillId="7" borderId="2" xfId="0" applyFill="1" applyBorder="1" applyAlignment="1" applyProtection="1">
      <alignment horizontal="center" vertical="center"/>
      <protection locked="0"/>
    </xf>
    <xf numFmtId="0" fontId="0" fillId="7" borderId="3" xfId="0" applyFill="1" applyBorder="1" applyAlignment="1" applyProtection="1">
      <alignment horizontal="center" vertical="center"/>
      <protection locked="0"/>
    </xf>
    <xf numFmtId="0" fontId="38" fillId="9" borderId="2" xfId="0" applyFont="1" applyFill="1" applyBorder="1" applyAlignment="1" applyProtection="1">
      <alignment horizontal="center" vertical="center"/>
      <protection locked="0"/>
    </xf>
    <xf numFmtId="0" fontId="38" fillId="9" borderId="4" xfId="0" applyFont="1" applyFill="1" applyBorder="1" applyAlignment="1" applyProtection="1">
      <alignment horizontal="center" vertical="center"/>
      <protection locked="0"/>
    </xf>
    <xf numFmtId="0" fontId="0" fillId="3" borderId="2" xfId="0" applyFill="1" applyBorder="1" applyAlignment="1" applyProtection="1">
      <alignment horizontal="left"/>
      <protection locked="0"/>
    </xf>
    <xf numFmtId="0" fontId="0" fillId="3" borderId="3" xfId="0" applyFill="1" applyBorder="1" applyAlignment="1" applyProtection="1">
      <alignment horizontal="left"/>
      <protection locked="0"/>
    </xf>
    <xf numFmtId="0" fontId="0" fillId="3" borderId="4" xfId="0" applyFill="1" applyBorder="1" applyAlignment="1" applyProtection="1">
      <alignment horizontal="left"/>
      <protection locked="0"/>
    </xf>
    <xf numFmtId="0" fontId="2" fillId="2" borderId="2" xfId="0" applyFont="1" applyFill="1" applyBorder="1"/>
    <xf numFmtId="0" fontId="2" fillId="2" borderId="3" xfId="0" applyFont="1" applyFill="1" applyBorder="1"/>
    <xf numFmtId="0" fontId="2" fillId="2" borderId="4" xfId="0" applyFont="1" applyFill="1" applyBorder="1"/>
    <xf numFmtId="0" fontId="35" fillId="7" borderId="2" xfId="0" applyFont="1" applyFill="1" applyBorder="1" applyAlignment="1">
      <alignment horizontal="center" vertical="center" wrapText="1"/>
    </xf>
    <xf numFmtId="0" fontId="35" fillId="7" borderId="3" xfId="0" applyFont="1" applyFill="1" applyBorder="1" applyAlignment="1">
      <alignment horizontal="center" vertical="center" wrapText="1"/>
    </xf>
    <xf numFmtId="0" fontId="35" fillId="7" borderId="4"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3" xfId="0" applyFont="1" applyFill="1" applyBorder="1" applyAlignment="1">
      <alignment horizontal="center" vertical="center" wrapText="1"/>
    </xf>
    <xf numFmtId="0" fontId="35" fillId="15" borderId="4" xfId="0" applyFont="1" applyFill="1" applyBorder="1" applyAlignment="1">
      <alignment horizontal="center" vertical="center" wrapText="1"/>
    </xf>
    <xf numFmtId="0" fontId="32" fillId="7" borderId="3" xfId="0" applyFont="1" applyFill="1" applyBorder="1" applyAlignment="1">
      <alignment horizontal="center" vertical="center" wrapText="1"/>
    </xf>
    <xf numFmtId="0" fontId="32" fillId="7" borderId="4" xfId="0" applyFont="1" applyFill="1" applyBorder="1" applyAlignment="1">
      <alignment horizontal="center" vertical="center" wrapText="1"/>
    </xf>
    <xf numFmtId="0" fontId="32" fillId="20" borderId="59" xfId="0" applyFont="1" applyFill="1" applyBorder="1" applyAlignment="1">
      <alignment horizontal="center" vertical="center" wrapText="1"/>
    </xf>
    <xf numFmtId="0" fontId="32" fillId="20" borderId="60" xfId="0" applyFont="1" applyFill="1" applyBorder="1" applyAlignment="1">
      <alignment horizontal="center" vertical="center" wrapText="1"/>
    </xf>
    <xf numFmtId="0" fontId="32" fillId="20" borderId="61" xfId="0" applyFont="1" applyFill="1" applyBorder="1" applyAlignment="1">
      <alignment horizontal="center" vertical="center" wrapText="1"/>
    </xf>
    <xf numFmtId="0" fontId="30" fillId="7" borderId="67" xfId="0" applyFont="1" applyFill="1" applyBorder="1" applyAlignment="1">
      <alignment horizontal="left" vertical="center" wrapText="1"/>
    </xf>
    <xf numFmtId="0" fontId="30" fillId="7" borderId="0" xfId="0" applyFont="1" applyFill="1" applyAlignment="1">
      <alignment horizontal="left" vertical="center" wrapText="1"/>
    </xf>
    <xf numFmtId="0" fontId="32" fillId="53" borderId="2" xfId="0" applyFont="1" applyFill="1" applyBorder="1" applyAlignment="1">
      <alignment horizontal="center" vertical="center" wrapText="1"/>
    </xf>
    <xf numFmtId="0" fontId="32" fillId="53" borderId="3" xfId="0" applyFont="1" applyFill="1" applyBorder="1" applyAlignment="1">
      <alignment horizontal="center" vertical="center" wrapText="1"/>
    </xf>
    <xf numFmtId="0" fontId="32" fillId="53" borderId="4" xfId="0" applyFont="1" applyFill="1" applyBorder="1" applyAlignment="1">
      <alignment horizontal="center" vertical="center" wrapText="1"/>
    </xf>
    <xf numFmtId="0" fontId="15" fillId="54" borderId="6" xfId="0" applyFont="1" applyFill="1" applyBorder="1" applyAlignment="1">
      <alignment horizontal="center" vertical="center" wrapText="1"/>
    </xf>
    <xf numFmtId="0" fontId="15" fillId="54" borderId="8" xfId="0" applyFont="1" applyFill="1" applyBorder="1" applyAlignment="1">
      <alignment horizontal="center" vertical="center" wrapText="1"/>
    </xf>
    <xf numFmtId="0" fontId="26" fillId="4" borderId="12" xfId="0" applyFont="1" applyFill="1" applyBorder="1" applyAlignment="1">
      <alignment horizontal="left" vertical="center"/>
    </xf>
    <xf numFmtId="0" fontId="26" fillId="4" borderId="0" xfId="0" applyFont="1" applyFill="1" applyAlignment="1">
      <alignment horizontal="left" vertical="center"/>
    </xf>
    <xf numFmtId="0" fontId="0" fillId="7"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32" fillId="7" borderId="2" xfId="0" applyFont="1" applyFill="1" applyBorder="1" applyAlignment="1">
      <alignment horizontal="center" vertical="center" wrapText="1"/>
    </xf>
    <xf numFmtId="0" fontId="14" fillId="2" borderId="0" xfId="0" applyFont="1" applyFill="1" applyAlignment="1">
      <alignment horizontal="center" vertical="center"/>
    </xf>
    <xf numFmtId="0" fontId="21" fillId="2" borderId="0" xfId="0" applyFont="1" applyFill="1" applyAlignment="1">
      <alignment horizontal="center" vertical="center"/>
    </xf>
    <xf numFmtId="0" fontId="0" fillId="3" borderId="2" xfId="0" applyFill="1" applyBorder="1" applyAlignment="1">
      <alignment horizontal="left"/>
    </xf>
    <xf numFmtId="0" fontId="0" fillId="3" borderId="3" xfId="0" applyFill="1" applyBorder="1" applyAlignment="1">
      <alignment horizontal="left"/>
    </xf>
    <xf numFmtId="0" fontId="35" fillId="7" borderId="1" xfId="0" applyFont="1" applyFill="1" applyBorder="1" applyAlignment="1">
      <alignment horizontal="center" vertical="center" wrapText="1"/>
    </xf>
    <xf numFmtId="0" fontId="58" fillId="15" borderId="1" xfId="0" applyFont="1" applyFill="1" applyBorder="1" applyAlignment="1">
      <alignment horizontal="center" vertical="center"/>
    </xf>
    <xf numFmtId="0" fontId="18" fillId="20" borderId="1" xfId="0" applyFont="1" applyFill="1" applyBorder="1" applyAlignment="1">
      <alignment horizontal="center" vertical="center" wrapText="1"/>
    </xf>
    <xf numFmtId="0" fontId="14" fillId="2" borderId="41" xfId="0" applyFont="1" applyFill="1" applyBorder="1" applyAlignment="1">
      <alignment horizontal="center" vertical="center"/>
    </xf>
    <xf numFmtId="0" fontId="14" fillId="2" borderId="42" xfId="0" applyFont="1" applyFill="1" applyBorder="1" applyAlignment="1">
      <alignment horizontal="center" vertical="center"/>
    </xf>
    <xf numFmtId="0" fontId="26" fillId="4" borderId="44" xfId="0" applyFont="1" applyFill="1" applyBorder="1" applyAlignment="1">
      <alignment horizontal="left" vertical="center"/>
    </xf>
    <xf numFmtId="0" fontId="26" fillId="4" borderId="35" xfId="0" applyFont="1" applyFill="1" applyBorder="1" applyAlignment="1">
      <alignment horizontal="left" vertical="center"/>
    </xf>
    <xf numFmtId="0" fontId="0" fillId="7" borderId="2" xfId="0" applyFill="1" applyBorder="1"/>
    <xf numFmtId="0" fontId="0" fillId="7" borderId="3" xfId="0" applyFill="1" applyBorder="1"/>
    <xf numFmtId="0" fontId="0" fillId="7" borderId="4" xfId="0" applyFill="1" applyBorder="1"/>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26" fillId="4" borderId="45" xfId="0" applyFont="1" applyFill="1" applyBorder="1" applyAlignment="1">
      <alignment horizontal="left" vertical="center"/>
    </xf>
    <xf numFmtId="0" fontId="26" fillId="4" borderId="46" xfId="0" applyFont="1" applyFill="1" applyBorder="1" applyAlignment="1">
      <alignment horizontal="left" vertical="center"/>
    </xf>
    <xf numFmtId="0" fontId="26" fillId="4" borderId="3" xfId="0" applyFont="1" applyFill="1" applyBorder="1" applyAlignment="1">
      <alignment horizontal="left" vertical="center" wrapText="1"/>
    </xf>
    <xf numFmtId="0" fontId="14" fillId="2" borderId="1" xfId="0" applyFont="1" applyFill="1" applyBorder="1" applyAlignment="1">
      <alignment horizontal="center" vertical="center"/>
    </xf>
    <xf numFmtId="0" fontId="0" fillId="2" borderId="1" xfId="0" applyFill="1" applyBorder="1"/>
    <xf numFmtId="0" fontId="0" fillId="3" borderId="1" xfId="0" applyFill="1" applyBorder="1"/>
    <xf numFmtId="0" fontId="0" fillId="3" borderId="1" xfId="0" applyFill="1" applyBorder="1" applyAlignment="1">
      <alignment horizontal="left"/>
    </xf>
    <xf numFmtId="0" fontId="0" fillId="3" borderId="8" xfId="0" applyFill="1" applyBorder="1" applyAlignment="1">
      <alignment horizontal="left" vertical="center" wrapText="1"/>
    </xf>
    <xf numFmtId="0" fontId="0" fillId="3" borderId="11" xfId="0" applyFill="1" applyBorder="1" applyAlignment="1">
      <alignment horizontal="left" vertical="center" wrapText="1"/>
    </xf>
    <xf numFmtId="0" fontId="23" fillId="17" borderId="2" xfId="0" applyFont="1" applyFill="1" applyBorder="1" applyAlignment="1">
      <alignment horizontal="center" vertical="center"/>
    </xf>
    <xf numFmtId="0" fontId="23" fillId="17" borderId="4" xfId="0" applyFont="1" applyFill="1" applyBorder="1" applyAlignment="1">
      <alignment horizontal="center" vertical="center"/>
    </xf>
    <xf numFmtId="0" fontId="2" fillId="2" borderId="2" xfId="0" applyFont="1" applyFill="1" applyBorder="1" applyAlignment="1">
      <alignment vertical="center" wrapText="1"/>
    </xf>
    <xf numFmtId="0" fontId="2" fillId="2" borderId="4" xfId="0" applyFont="1" applyFill="1" applyBorder="1" applyAlignment="1">
      <alignment vertical="center" wrapText="1"/>
    </xf>
    <xf numFmtId="0" fontId="37" fillId="3" borderId="2"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14" fontId="33" fillId="7" borderId="2" xfId="0" applyNumberFormat="1" applyFont="1" applyFill="1" applyBorder="1" applyAlignment="1" applyProtection="1">
      <alignment vertical="center" wrapText="1"/>
      <protection locked="0"/>
    </xf>
    <xf numFmtId="14" fontId="33" fillId="7" borderId="4" xfId="0" applyNumberFormat="1" applyFont="1" applyFill="1" applyBorder="1" applyAlignment="1" applyProtection="1">
      <alignment vertical="center" wrapText="1"/>
      <protection locked="0"/>
    </xf>
    <xf numFmtId="14" fontId="33" fillId="2" borderId="2" xfId="0" applyNumberFormat="1" applyFont="1" applyFill="1" applyBorder="1" applyAlignment="1" applyProtection="1">
      <alignment vertical="center" wrapText="1"/>
      <protection locked="0"/>
    </xf>
    <xf numFmtId="14" fontId="33" fillId="2" borderId="4" xfId="0" applyNumberFormat="1" applyFont="1" applyFill="1" applyBorder="1" applyAlignment="1" applyProtection="1">
      <alignment vertical="center" wrapText="1"/>
      <protection locked="0"/>
    </xf>
    <xf numFmtId="0" fontId="36" fillId="17" borderId="2" xfId="0" applyFont="1" applyFill="1" applyBorder="1" applyAlignment="1">
      <alignment horizontal="center" vertical="center"/>
    </xf>
    <xf numFmtId="0" fontId="36" fillId="17" borderId="4" xfId="0" applyFont="1" applyFill="1" applyBorder="1" applyAlignment="1">
      <alignment horizontal="center" vertical="center"/>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7" borderId="1" xfId="0" applyFill="1" applyBorder="1" applyAlignment="1" applyProtection="1">
      <alignment vertical="center" wrapText="1"/>
      <protection locked="0"/>
    </xf>
    <xf numFmtId="0" fontId="68" fillId="3" borderId="2" xfId="0" applyFont="1" applyFill="1" applyBorder="1" applyAlignment="1" applyProtection="1">
      <alignment vertical="center" wrapText="1"/>
      <protection locked="0"/>
    </xf>
    <xf numFmtId="0" fontId="68" fillId="3" borderId="3" xfId="0" applyFont="1" applyFill="1" applyBorder="1" applyAlignment="1" applyProtection="1">
      <alignment vertical="center" wrapText="1"/>
      <protection locked="0"/>
    </xf>
    <xf numFmtId="0" fontId="68" fillId="3" borderId="4" xfId="0" applyFont="1" applyFill="1" applyBorder="1" applyAlignment="1" applyProtection="1">
      <alignment vertical="center" wrapText="1"/>
      <protection locked="0"/>
    </xf>
    <xf numFmtId="0" fontId="0" fillId="3" borderId="1" xfId="0" applyFill="1" applyBorder="1" applyAlignment="1" applyProtection="1">
      <alignment horizontal="center" vertical="center" wrapText="1"/>
      <protection locked="0"/>
    </xf>
    <xf numFmtId="0" fontId="0" fillId="7" borderId="2" xfId="0" applyFill="1" applyBorder="1" applyAlignment="1" applyProtection="1">
      <alignment vertical="center" wrapText="1"/>
      <protection locked="0"/>
    </xf>
    <xf numFmtId="0" fontId="0" fillId="7" borderId="3" xfId="0" applyFill="1" applyBorder="1" applyAlignment="1" applyProtection="1">
      <alignment vertical="center" wrapText="1"/>
      <protection locked="0"/>
    </xf>
    <xf numFmtId="0" fontId="0" fillId="7" borderId="4" xfId="0" applyFill="1" applyBorder="1" applyAlignment="1" applyProtection="1">
      <alignment vertical="center" wrapText="1"/>
      <protection locked="0"/>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2" fillId="2" borderId="1" xfId="0" applyFont="1" applyFill="1" applyBorder="1"/>
    <xf numFmtId="0" fontId="0" fillId="3" borderId="4" xfId="0" applyFill="1" applyBorder="1" applyAlignment="1">
      <alignment horizontal="left"/>
    </xf>
    <xf numFmtId="0" fontId="38" fillId="56" borderId="2" xfId="0" applyFont="1" applyFill="1" applyBorder="1" applyAlignment="1">
      <alignment horizontal="center"/>
    </xf>
    <xf numFmtId="0" fontId="38" fillId="56" borderId="3" xfId="0" applyFont="1" applyFill="1" applyBorder="1" applyAlignment="1">
      <alignment horizontal="center"/>
    </xf>
    <xf numFmtId="0" fontId="38" fillId="56" borderId="4" xfId="0" applyFont="1" applyFill="1" applyBorder="1" applyAlignment="1">
      <alignment horizontal="center"/>
    </xf>
    <xf numFmtId="0" fontId="38" fillId="56" borderId="2" xfId="0" applyFont="1" applyFill="1" applyBorder="1" applyAlignment="1">
      <alignment horizontal="center" vertical="center"/>
    </xf>
    <xf numFmtId="0" fontId="38" fillId="56" borderId="3" xfId="0" applyFont="1" applyFill="1" applyBorder="1" applyAlignment="1">
      <alignment horizontal="center" vertical="center"/>
    </xf>
    <xf numFmtId="0" fontId="3" fillId="29" borderId="0" xfId="0" applyFont="1" applyFill="1" applyAlignment="1" applyProtection="1">
      <alignment horizontal="left" vertical="center" wrapText="1"/>
      <protection locked="0"/>
    </xf>
    <xf numFmtId="0" fontId="93" fillId="18" borderId="2" xfId="0" applyFont="1" applyFill="1" applyBorder="1" applyAlignment="1">
      <alignment horizontal="center" vertical="center" wrapText="1"/>
    </xf>
    <xf numFmtId="0" fontId="93" fillId="18" borderId="3" xfId="0" applyFont="1" applyFill="1" applyBorder="1" applyAlignment="1">
      <alignment horizontal="center" vertical="center" wrapText="1"/>
    </xf>
    <xf numFmtId="0" fontId="93" fillId="18" borderId="4" xfId="0" applyFont="1" applyFill="1" applyBorder="1" applyAlignment="1">
      <alignment horizontal="center" vertical="center" wrapText="1"/>
    </xf>
    <xf numFmtId="0" fontId="95" fillId="25" borderId="1" xfId="0" applyFont="1" applyFill="1" applyBorder="1" applyAlignment="1">
      <alignment horizontal="center" vertical="center"/>
    </xf>
    <xf numFmtId="0" fontId="20" fillId="18" borderId="3" xfId="0" applyFont="1" applyFill="1" applyBorder="1" applyAlignment="1">
      <alignment horizontal="left" vertical="center"/>
    </xf>
    <xf numFmtId="0" fontId="20" fillId="18" borderId="4" xfId="0" applyFont="1" applyFill="1" applyBorder="1" applyAlignment="1">
      <alignment horizontal="left" vertical="center"/>
    </xf>
    <xf numFmtId="0" fontId="101" fillId="25" borderId="1" xfId="0" applyFont="1" applyFill="1" applyBorder="1" applyAlignment="1">
      <alignment horizontal="center" vertical="center"/>
    </xf>
    <xf numFmtId="0" fontId="15" fillId="57" borderId="2" xfId="0" applyFont="1" applyFill="1" applyBorder="1" applyAlignment="1">
      <alignment horizontal="center" vertical="center"/>
    </xf>
    <xf numFmtId="0" fontId="15" fillId="57" borderId="3" xfId="0" applyFont="1" applyFill="1" applyBorder="1" applyAlignment="1">
      <alignment horizontal="center" vertical="center"/>
    </xf>
    <xf numFmtId="0" fontId="15" fillId="57" borderId="4" xfId="0" applyFont="1" applyFill="1" applyBorder="1" applyAlignment="1">
      <alignment horizontal="center" vertical="center"/>
    </xf>
    <xf numFmtId="0" fontId="94" fillId="57" borderId="2" xfId="0" applyFont="1" applyFill="1" applyBorder="1" applyAlignment="1">
      <alignment horizontal="center" vertical="center"/>
    </xf>
    <xf numFmtId="0" fontId="94" fillId="57" borderId="3" xfId="0" applyFont="1" applyFill="1" applyBorder="1" applyAlignment="1">
      <alignment horizontal="center" vertical="center"/>
    </xf>
    <xf numFmtId="0" fontId="94" fillId="57" borderId="4" xfId="0" applyFont="1" applyFill="1" applyBorder="1" applyAlignment="1">
      <alignment horizontal="center" vertical="center"/>
    </xf>
    <xf numFmtId="0" fontId="97" fillId="57" borderId="2" xfId="0" applyFont="1" applyFill="1" applyBorder="1" applyAlignment="1">
      <alignment horizontal="center" vertical="center"/>
    </xf>
    <xf numFmtId="0" fontId="97" fillId="57" borderId="3" xfId="0" applyFont="1" applyFill="1" applyBorder="1" applyAlignment="1">
      <alignment horizontal="center" vertical="center"/>
    </xf>
    <xf numFmtId="0" fontId="97" fillId="57" borderId="4" xfId="0" applyFont="1" applyFill="1" applyBorder="1" applyAlignment="1">
      <alignment horizontal="center" vertical="center"/>
    </xf>
    <xf numFmtId="0" fontId="23" fillId="57" borderId="3" xfId="0" applyFont="1" applyFill="1" applyBorder="1" applyAlignment="1">
      <alignment horizontal="left" vertical="center"/>
    </xf>
    <xf numFmtId="0" fontId="23" fillId="57" borderId="4" xfId="0" applyFont="1" applyFill="1" applyBorder="1" applyAlignment="1">
      <alignment horizontal="left" vertical="center"/>
    </xf>
    <xf numFmtId="0" fontId="77" fillId="57" borderId="2" xfId="0" applyFont="1" applyFill="1" applyBorder="1" applyAlignment="1">
      <alignment horizontal="center" vertical="center" wrapText="1"/>
    </xf>
    <xf numFmtId="0" fontId="77" fillId="57" borderId="3" xfId="0" applyFont="1" applyFill="1" applyBorder="1" applyAlignment="1">
      <alignment horizontal="center" vertical="center" wrapText="1"/>
    </xf>
    <xf numFmtId="0" fontId="77" fillId="57" borderId="4" xfId="0" applyFont="1" applyFill="1" applyBorder="1" applyAlignment="1">
      <alignment horizontal="center" vertical="center" wrapText="1"/>
    </xf>
    <xf numFmtId="0" fontId="77" fillId="58" borderId="2" xfId="0" applyFont="1" applyFill="1" applyBorder="1" applyAlignment="1">
      <alignment horizontal="center" vertical="center" wrapText="1"/>
    </xf>
    <xf numFmtId="0" fontId="77" fillId="58" borderId="3" xfId="0" applyFont="1" applyFill="1" applyBorder="1" applyAlignment="1">
      <alignment horizontal="center" vertical="center" wrapText="1"/>
    </xf>
    <xf numFmtId="0" fontId="77" fillId="58" borderId="4" xfId="0" applyFont="1" applyFill="1" applyBorder="1" applyAlignment="1">
      <alignment horizontal="center" vertical="center" wrapText="1"/>
    </xf>
    <xf numFmtId="0" fontId="77" fillId="25" borderId="0" xfId="0" applyFont="1" applyFill="1" applyAlignment="1">
      <alignment horizontal="left" vertical="center"/>
    </xf>
    <xf numFmtId="0" fontId="15" fillId="27" borderId="9" xfId="0" applyFont="1" applyFill="1" applyBorder="1" applyAlignment="1">
      <alignment horizontal="center" vertical="center"/>
    </xf>
    <xf numFmtId="0" fontId="15" fillId="27" borderId="10" xfId="0" applyFont="1" applyFill="1" applyBorder="1" applyAlignment="1">
      <alignment horizontal="center" vertical="center"/>
    </xf>
    <xf numFmtId="0" fontId="77" fillId="37" borderId="0" xfId="0" applyFont="1" applyFill="1" applyAlignment="1">
      <alignment horizontal="left" vertical="center"/>
    </xf>
    <xf numFmtId="0" fontId="15" fillId="43" borderId="1" xfId="0" applyFont="1" applyFill="1" applyBorder="1" applyAlignment="1">
      <alignment horizontal="center" vertical="center" wrapText="1"/>
    </xf>
    <xf numFmtId="0" fontId="22" fillId="39" borderId="1" xfId="0" applyFont="1" applyFill="1" applyBorder="1" applyAlignment="1">
      <alignment horizontal="center" vertical="center" wrapText="1"/>
    </xf>
    <xf numFmtId="0" fontId="22" fillId="21" borderId="1" xfId="0" applyFont="1" applyFill="1" applyBorder="1" applyAlignment="1">
      <alignment horizontal="center" vertical="center" wrapText="1"/>
    </xf>
    <xf numFmtId="0" fontId="22" fillId="43" borderId="1" xfId="0" applyFont="1" applyFill="1" applyBorder="1" applyAlignment="1">
      <alignment horizontal="center" vertical="center" wrapText="1"/>
    </xf>
    <xf numFmtId="0" fontId="26" fillId="43"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22" fillId="3" borderId="1" xfId="0" applyFont="1" applyFill="1" applyBorder="1" applyAlignment="1">
      <alignment horizontal="center" vertical="center"/>
    </xf>
    <xf numFmtId="0" fontId="32" fillId="24" borderId="2" xfId="0" applyFont="1" applyFill="1" applyBorder="1" applyAlignment="1">
      <alignment horizontal="right" vertical="center" wrapText="1"/>
    </xf>
    <xf numFmtId="0" fontId="32" fillId="24" borderId="3" xfId="0" applyFont="1" applyFill="1" applyBorder="1" applyAlignment="1">
      <alignment horizontal="right" vertical="center" wrapText="1"/>
    </xf>
    <xf numFmtId="0" fontId="32" fillId="24" borderId="4" xfId="0" applyFont="1" applyFill="1" applyBorder="1" applyAlignment="1">
      <alignment horizontal="right" vertical="center" wrapText="1"/>
    </xf>
    <xf numFmtId="0" fontId="77" fillId="43" borderId="1" xfId="0" applyFont="1" applyFill="1" applyBorder="1" applyAlignment="1">
      <alignment horizontal="center" vertical="center"/>
    </xf>
    <xf numFmtId="0" fontId="88" fillId="43" borderId="1" xfId="0" applyFont="1" applyFill="1" applyBorder="1" applyAlignment="1">
      <alignment horizontal="center" vertical="center" wrapText="1"/>
    </xf>
    <xf numFmtId="0" fontId="22" fillId="21" borderId="1" xfId="0" applyFont="1" applyFill="1" applyBorder="1" applyAlignment="1">
      <alignment vertical="center"/>
    </xf>
    <xf numFmtId="0" fontId="22" fillId="43" borderId="1" xfId="0" applyFont="1" applyFill="1" applyBorder="1" applyAlignment="1">
      <alignment vertical="center"/>
    </xf>
    <xf numFmtId="0" fontId="50" fillId="11" borderId="2" xfId="0" applyFont="1" applyFill="1" applyBorder="1" applyAlignment="1">
      <alignment horizontal="center" vertical="center" wrapText="1"/>
    </xf>
    <xf numFmtId="0" fontId="50" fillId="11" borderId="4" xfId="0" applyFont="1" applyFill="1" applyBorder="1" applyAlignment="1">
      <alignment horizontal="center" vertical="center" wrapText="1"/>
    </xf>
    <xf numFmtId="0" fontId="20" fillId="11" borderId="2" xfId="0" applyFont="1" applyFill="1" applyBorder="1" applyAlignment="1">
      <alignment horizontal="center" vertical="center" wrapText="1"/>
    </xf>
    <xf numFmtId="0" fontId="20" fillId="11" borderId="4"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4" xfId="0" applyFont="1" applyFill="1" applyBorder="1" applyAlignment="1">
      <alignment horizontal="center" vertical="center" wrapText="1"/>
    </xf>
    <xf numFmtId="0" fontId="26" fillId="47" borderId="14" xfId="0" applyFont="1" applyFill="1" applyBorder="1" applyAlignment="1">
      <alignment horizontal="center"/>
    </xf>
    <xf numFmtId="0" fontId="14" fillId="20" borderId="1" xfId="0" applyFont="1" applyFill="1" applyBorder="1" applyAlignment="1">
      <alignment vertical="center" wrapText="1"/>
    </xf>
    <xf numFmtId="0" fontId="2" fillId="23" borderId="2" xfId="0" applyFont="1" applyFill="1" applyBorder="1" applyAlignment="1">
      <alignment horizontal="left" vertical="center" wrapText="1"/>
    </xf>
    <xf numFmtId="0" fontId="2" fillId="23" borderId="3" xfId="0" applyFont="1" applyFill="1" applyBorder="1" applyAlignment="1">
      <alignment horizontal="left" vertical="center" wrapText="1"/>
    </xf>
    <xf numFmtId="0" fontId="2" fillId="23" borderId="4" xfId="0" applyFont="1" applyFill="1" applyBorder="1" applyAlignment="1">
      <alignment horizontal="left" vertical="center" wrapText="1"/>
    </xf>
    <xf numFmtId="0" fontId="2" fillId="18" borderId="2" xfId="0" applyFont="1" applyFill="1" applyBorder="1" applyAlignment="1">
      <alignment vertical="center" wrapText="1"/>
    </xf>
    <xf numFmtId="0" fontId="2" fillId="18" borderId="3" xfId="0" applyFont="1" applyFill="1" applyBorder="1" applyAlignment="1">
      <alignment vertical="center" wrapText="1"/>
    </xf>
    <xf numFmtId="0" fontId="2" fillId="18" borderId="4" xfId="0" applyFont="1" applyFill="1" applyBorder="1" applyAlignment="1">
      <alignment vertical="center" wrapText="1"/>
    </xf>
    <xf numFmtId="0" fontId="0" fillId="16" borderId="2" xfId="0" applyFill="1" applyBorder="1" applyAlignment="1">
      <alignment vertical="center" wrapText="1"/>
    </xf>
    <xf numFmtId="0" fontId="0" fillId="16" borderId="3" xfId="0" applyFill="1" applyBorder="1" applyAlignment="1">
      <alignment vertical="center" wrapText="1"/>
    </xf>
    <xf numFmtId="0" fontId="0" fillId="16" borderId="4" xfId="0" applyFill="1" applyBorder="1" applyAlignment="1">
      <alignment vertical="center" wrapText="1"/>
    </xf>
    <xf numFmtId="0" fontId="32" fillId="23" borderId="2" xfId="0" applyFont="1" applyFill="1" applyBorder="1" applyAlignment="1">
      <alignment horizontal="right" vertical="center" wrapText="1"/>
    </xf>
    <xf numFmtId="0" fontId="32" fillId="23" borderId="3" xfId="0" applyFont="1" applyFill="1" applyBorder="1" applyAlignment="1">
      <alignment horizontal="right" vertical="center" wrapText="1"/>
    </xf>
    <xf numFmtId="0" fontId="32" fillId="23" borderId="4" xfId="0" applyFont="1" applyFill="1" applyBorder="1" applyAlignment="1">
      <alignment horizontal="right" vertical="center" wrapText="1"/>
    </xf>
    <xf numFmtId="0" fontId="0" fillId="23" borderId="2" xfId="0" applyFill="1" applyBorder="1" applyAlignment="1">
      <alignment horizontal="center"/>
    </xf>
    <xf numFmtId="0" fontId="0" fillId="23" borderId="3" xfId="0" applyFill="1" applyBorder="1" applyAlignment="1">
      <alignment horizontal="center"/>
    </xf>
    <xf numFmtId="0" fontId="0" fillId="23" borderId="4" xfId="0" applyFill="1" applyBorder="1" applyAlignment="1">
      <alignment horizontal="center"/>
    </xf>
    <xf numFmtId="0" fontId="0" fillId="18" borderId="2" xfId="0" applyFill="1" applyBorder="1" applyAlignment="1">
      <alignment horizontal="center"/>
    </xf>
    <xf numFmtId="0" fontId="0" fillId="18" borderId="3" xfId="0" applyFill="1" applyBorder="1" applyAlignment="1">
      <alignment horizontal="center"/>
    </xf>
    <xf numFmtId="0" fontId="0" fillId="18" borderId="4" xfId="0" applyFill="1" applyBorder="1" applyAlignment="1">
      <alignment horizontal="center"/>
    </xf>
    <xf numFmtId="0" fontId="32" fillId="27" borderId="2" xfId="0" applyFont="1" applyFill="1" applyBorder="1" applyAlignment="1">
      <alignment vertical="center" wrapText="1"/>
    </xf>
    <xf numFmtId="0" fontId="32" fillId="27" borderId="3" xfId="0" applyFont="1" applyFill="1" applyBorder="1" applyAlignment="1">
      <alignment vertical="center" wrapText="1"/>
    </xf>
    <xf numFmtId="0" fontId="32" fillId="27" borderId="4" xfId="0" applyFont="1" applyFill="1" applyBorder="1" applyAlignment="1">
      <alignment vertical="center" wrapText="1"/>
    </xf>
    <xf numFmtId="0" fontId="24" fillId="2"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0" fillId="7" borderId="1" xfId="0" applyFont="1" applyFill="1" applyBorder="1" applyAlignment="1">
      <alignment horizontal="left" vertical="center" wrapText="1"/>
    </xf>
    <xf numFmtId="0" fontId="22" fillId="16" borderId="1" xfId="0" applyFont="1" applyFill="1" applyBorder="1" applyAlignment="1">
      <alignment horizontal="center" vertical="center"/>
    </xf>
    <xf numFmtId="0" fontId="26" fillId="24" borderId="1" xfId="0" applyFont="1" applyFill="1" applyBorder="1" applyAlignment="1">
      <alignment horizontal="center" vertical="center"/>
    </xf>
    <xf numFmtId="0" fontId="15" fillId="26" borderId="2" xfId="0" applyFont="1" applyFill="1" applyBorder="1" applyAlignment="1">
      <alignment horizontal="right" vertical="center" wrapText="1"/>
    </xf>
    <xf numFmtId="0" fontId="15" fillId="26" borderId="3" xfId="0" applyFont="1" applyFill="1" applyBorder="1" applyAlignment="1">
      <alignment horizontal="right" vertical="center" wrapText="1"/>
    </xf>
    <xf numFmtId="0" fontId="15" fillId="26" borderId="4" xfId="0" applyFont="1" applyFill="1" applyBorder="1" applyAlignment="1">
      <alignment horizontal="right" vertical="center" wrapText="1"/>
    </xf>
    <xf numFmtId="0" fontId="32" fillId="24" borderId="1" xfId="0" applyFont="1" applyFill="1" applyBorder="1"/>
    <xf numFmtId="0" fontId="0" fillId="29" borderId="1" xfId="0" applyFill="1" applyBorder="1" applyAlignment="1">
      <alignment horizontal="left" vertical="center" wrapText="1"/>
    </xf>
    <xf numFmtId="0" fontId="0" fillId="29" borderId="1" xfId="0" applyFill="1" applyBorder="1" applyAlignment="1">
      <alignment vertical="center" wrapText="1"/>
    </xf>
    <xf numFmtId="0" fontId="15" fillId="40" borderId="2" xfId="0" applyFont="1" applyFill="1" applyBorder="1" applyAlignment="1">
      <alignment horizontal="right" vertical="center" wrapText="1"/>
    </xf>
    <xf numFmtId="0" fontId="15" fillId="40" borderId="3" xfId="0" applyFont="1" applyFill="1" applyBorder="1" applyAlignment="1">
      <alignment horizontal="right" vertical="center" wrapText="1"/>
    </xf>
    <xf numFmtId="0" fontId="15" fillId="40" borderId="4" xfId="0" applyFont="1" applyFill="1" applyBorder="1" applyAlignment="1">
      <alignment horizontal="right" vertical="center" wrapText="1"/>
    </xf>
    <xf numFmtId="0" fontId="47" fillId="40" borderId="1" xfId="0" applyFont="1" applyFill="1" applyBorder="1" applyAlignment="1">
      <alignment horizontal="center" vertical="center"/>
    </xf>
    <xf numFmtId="0" fontId="32" fillId="8" borderId="1" xfId="0" applyFont="1" applyFill="1" applyBorder="1" applyAlignment="1">
      <alignment horizontal="center" vertical="center" wrapText="1"/>
    </xf>
    <xf numFmtId="0" fontId="2" fillId="8" borderId="2" xfId="0" applyFont="1" applyFill="1" applyBorder="1" applyAlignment="1">
      <alignment vertical="center" wrapText="1"/>
    </xf>
    <xf numFmtId="0" fontId="2" fillId="8" borderId="4" xfId="0" applyFont="1" applyFill="1" applyBorder="1" applyAlignment="1">
      <alignment vertical="center" wrapText="1"/>
    </xf>
    <xf numFmtId="0" fontId="34" fillId="46" borderId="2" xfId="0" applyFont="1" applyFill="1" applyBorder="1" applyAlignment="1">
      <alignment horizontal="center" vertical="center" wrapText="1"/>
    </xf>
    <xf numFmtId="0" fontId="34" fillId="46" borderId="4" xfId="0" applyFont="1" applyFill="1" applyBorder="1" applyAlignment="1">
      <alignment horizontal="center" vertical="center" wrapText="1"/>
    </xf>
    <xf numFmtId="0" fontId="0" fillId="3" borderId="1" xfId="0" applyFill="1" applyBorder="1" applyAlignment="1">
      <alignment horizontal="center" vertical="center" wrapText="1"/>
    </xf>
    <xf numFmtId="0" fontId="34" fillId="23" borderId="2" xfId="0" applyFont="1" applyFill="1" applyBorder="1" applyAlignment="1">
      <alignment horizontal="center" vertical="center"/>
    </xf>
    <xf numFmtId="0" fontId="34" fillId="23" borderId="3" xfId="0" applyFont="1" applyFill="1" applyBorder="1" applyAlignment="1">
      <alignment horizontal="center" vertical="center"/>
    </xf>
    <xf numFmtId="0" fontId="34" fillId="23" borderId="4" xfId="0" applyFont="1" applyFill="1" applyBorder="1" applyAlignment="1">
      <alignment horizontal="center" vertical="center"/>
    </xf>
    <xf numFmtId="0" fontId="22" fillId="29" borderId="1" xfId="0" applyFont="1" applyFill="1" applyBorder="1" applyAlignment="1">
      <alignment horizontal="center" vertical="center"/>
    </xf>
    <xf numFmtId="0" fontId="2" fillId="18" borderId="2" xfId="0" applyFont="1" applyFill="1" applyBorder="1" applyAlignment="1">
      <alignment horizontal="left" vertical="center" wrapText="1"/>
    </xf>
    <xf numFmtId="0" fontId="2" fillId="18" borderId="3" xfId="0" applyFont="1" applyFill="1" applyBorder="1" applyAlignment="1">
      <alignment horizontal="left" vertical="center" wrapText="1"/>
    </xf>
    <xf numFmtId="0" fontId="2" fillId="18" borderId="4" xfId="0" applyFont="1" applyFill="1" applyBorder="1" applyAlignment="1">
      <alignment horizontal="left" vertical="center" wrapText="1"/>
    </xf>
    <xf numFmtId="0" fontId="20" fillId="18" borderId="1" xfId="0" applyFont="1" applyFill="1" applyBorder="1" applyAlignment="1">
      <alignment horizontal="right" vertical="center" wrapText="1"/>
    </xf>
    <xf numFmtId="0" fontId="34" fillId="45" borderId="2" xfId="0" applyFont="1" applyFill="1" applyBorder="1" applyAlignment="1">
      <alignment horizontal="center" vertical="center" wrapText="1"/>
    </xf>
    <xf numFmtId="0" fontId="34" fillId="45" borderId="4" xfId="0" applyFont="1" applyFill="1" applyBorder="1" applyAlignment="1">
      <alignment horizontal="center" vertical="center" wrapText="1"/>
    </xf>
    <xf numFmtId="0" fontId="32" fillId="24" borderId="1" xfId="0" applyFont="1" applyFill="1" applyBorder="1" applyAlignment="1">
      <alignment vertical="center" wrapText="1"/>
    </xf>
    <xf numFmtId="0" fontId="45" fillId="24" borderId="5" xfId="0" applyFont="1" applyFill="1" applyBorder="1" applyAlignment="1">
      <alignment horizontal="center" vertical="center"/>
    </xf>
    <xf numFmtId="0" fontId="45" fillId="24" borderId="0" xfId="0" applyFont="1" applyFill="1" applyAlignment="1">
      <alignment horizontal="center" vertical="center"/>
    </xf>
    <xf numFmtId="0" fontId="45" fillId="24" borderId="9" xfId="0" applyFont="1" applyFill="1" applyBorder="1" applyAlignment="1">
      <alignment horizontal="center" vertical="center"/>
    </xf>
    <xf numFmtId="0" fontId="45" fillId="24" borderId="10" xfId="0" applyFont="1" applyFill="1" applyBorder="1" applyAlignment="1">
      <alignment horizontal="center" vertical="center"/>
    </xf>
    <xf numFmtId="0" fontId="77" fillId="47" borderId="0" xfId="0" applyFont="1" applyFill="1" applyAlignment="1">
      <alignment horizontal="left" vertical="center"/>
    </xf>
    <xf numFmtId="0" fontId="28" fillId="8" borderId="2" xfId="0" applyFont="1" applyFill="1" applyBorder="1" applyAlignment="1">
      <alignment horizontal="center" vertical="center"/>
    </xf>
    <xf numFmtId="0" fontId="28" fillId="8" borderId="3" xfId="0" applyFont="1" applyFill="1" applyBorder="1" applyAlignment="1">
      <alignment horizontal="center" vertical="center"/>
    </xf>
    <xf numFmtId="0" fontId="28" fillId="8" borderId="4" xfId="0" applyFont="1" applyFill="1" applyBorder="1" applyAlignment="1">
      <alignment horizontal="center" vertical="center"/>
    </xf>
    <xf numFmtId="0" fontId="26" fillId="47" borderId="2" xfId="0" applyFont="1" applyFill="1" applyBorder="1" applyAlignment="1">
      <alignment horizontal="center" vertical="center"/>
    </xf>
    <xf numFmtId="0" fontId="26" fillId="47" borderId="3" xfId="0" applyFont="1" applyFill="1" applyBorder="1" applyAlignment="1">
      <alignment horizontal="center" vertical="center"/>
    </xf>
    <xf numFmtId="0" fontId="26" fillId="47" borderId="4" xfId="0" applyFont="1" applyFill="1" applyBorder="1" applyAlignment="1">
      <alignment horizontal="center" vertical="center"/>
    </xf>
    <xf numFmtId="0" fontId="32" fillId="17" borderId="2" xfId="0" applyFont="1" applyFill="1" applyBorder="1" applyAlignment="1">
      <alignment horizontal="right" vertical="center" wrapText="1"/>
    </xf>
    <xf numFmtId="0" fontId="32" fillId="17" borderId="3" xfId="0" applyFont="1" applyFill="1" applyBorder="1" applyAlignment="1">
      <alignment horizontal="right" vertical="center" wrapText="1"/>
    </xf>
    <xf numFmtId="0" fontId="32" fillId="17" borderId="4" xfId="0" applyFont="1" applyFill="1" applyBorder="1" applyAlignment="1">
      <alignment horizontal="right" vertical="center" wrapText="1"/>
    </xf>
    <xf numFmtId="0" fontId="26" fillId="17" borderId="1" xfId="0" applyFont="1" applyFill="1" applyBorder="1" applyAlignment="1">
      <alignment horizontal="center" vertical="center"/>
    </xf>
    <xf numFmtId="0" fontId="23" fillId="47" borderId="2" xfId="0" applyFont="1" applyFill="1" applyBorder="1" applyAlignment="1">
      <alignment horizontal="center" vertical="center"/>
    </xf>
    <xf numFmtId="0" fontId="23" fillId="47" borderId="3" xfId="0" applyFont="1" applyFill="1" applyBorder="1" applyAlignment="1">
      <alignment horizontal="center" vertical="center"/>
    </xf>
    <xf numFmtId="0" fontId="23" fillId="47" borderId="4" xfId="0" applyFont="1" applyFill="1" applyBorder="1" applyAlignment="1">
      <alignment horizontal="center" vertical="center"/>
    </xf>
    <xf numFmtId="0" fontId="77" fillId="47" borderId="1" xfId="0" applyFont="1" applyFill="1" applyBorder="1" applyAlignment="1">
      <alignment horizontal="center" vertical="center" wrapText="1"/>
    </xf>
    <xf numFmtId="0" fontId="15" fillId="47" borderId="9" xfId="0" applyFont="1" applyFill="1" applyBorder="1" applyAlignment="1">
      <alignment horizontal="center" vertical="center"/>
    </xf>
    <xf numFmtId="0" fontId="15" fillId="47" borderId="10" xfId="0" applyFont="1" applyFill="1" applyBorder="1" applyAlignment="1">
      <alignment horizontal="center" vertical="center"/>
    </xf>
    <xf numFmtId="0" fontId="32" fillId="27" borderId="1" xfId="0" applyFont="1" applyFill="1" applyBorder="1" applyAlignment="1">
      <alignment vertical="center" wrapText="1"/>
    </xf>
    <xf numFmtId="0" fontId="32" fillId="27" borderId="1" xfId="0" applyFont="1" applyFill="1" applyBorder="1"/>
    <xf numFmtId="0" fontId="43" fillId="27" borderId="5" xfId="0" applyFont="1" applyFill="1" applyBorder="1" applyAlignment="1">
      <alignment horizontal="center" vertical="center"/>
    </xf>
    <xf numFmtId="0" fontId="43" fillId="27" borderId="0" xfId="0" applyFont="1" applyFill="1" applyAlignment="1">
      <alignment horizontal="center" vertical="center"/>
    </xf>
    <xf numFmtId="0" fontId="43" fillId="27" borderId="9" xfId="0" applyFont="1" applyFill="1" applyBorder="1" applyAlignment="1">
      <alignment horizontal="center" vertical="center"/>
    </xf>
    <xf numFmtId="0" fontId="43" fillId="27" borderId="10" xfId="0" applyFont="1" applyFill="1" applyBorder="1" applyAlignment="1">
      <alignment horizontal="center" vertical="center"/>
    </xf>
    <xf numFmtId="0" fontId="44" fillId="28" borderId="5" xfId="0" applyFont="1" applyFill="1" applyBorder="1" applyAlignment="1">
      <alignment horizontal="center" vertical="center"/>
    </xf>
    <xf numFmtId="0" fontId="44" fillId="28" borderId="0" xfId="0" applyFont="1" applyFill="1" applyAlignment="1">
      <alignment horizontal="center" vertical="center"/>
    </xf>
    <xf numFmtId="0" fontId="44" fillId="28" borderId="9" xfId="0" applyFont="1" applyFill="1" applyBorder="1" applyAlignment="1">
      <alignment horizontal="center" vertical="center"/>
    </xf>
    <xf numFmtId="0" fontId="44" fillId="28" borderId="10" xfId="0" applyFont="1" applyFill="1" applyBorder="1" applyAlignment="1">
      <alignment horizontal="center" vertical="center"/>
    </xf>
    <xf numFmtId="0" fontId="32" fillId="28" borderId="1" xfId="0" applyFont="1" applyFill="1" applyBorder="1" applyAlignment="1">
      <alignment vertical="center" wrapText="1"/>
    </xf>
    <xf numFmtId="0" fontId="32" fillId="28" borderId="1" xfId="0" applyFont="1" applyFill="1" applyBorder="1"/>
    <xf numFmtId="0" fontId="47" fillId="25" borderId="1" xfId="0" applyFont="1" applyFill="1" applyBorder="1" applyAlignment="1">
      <alignment horizontal="center" vertical="center"/>
    </xf>
    <xf numFmtId="0" fontId="20" fillId="18" borderId="2" xfId="0" applyFont="1" applyFill="1" applyBorder="1" applyAlignment="1">
      <alignment horizontal="center" vertical="center" wrapText="1"/>
    </xf>
    <xf numFmtId="0" fontId="20" fillId="18" borderId="4" xfId="0" applyFont="1" applyFill="1" applyBorder="1" applyAlignment="1">
      <alignment horizontal="center" vertical="center" wrapText="1"/>
    </xf>
    <xf numFmtId="0" fontId="50" fillId="18" borderId="2" xfId="0" applyFont="1" applyFill="1" applyBorder="1" applyAlignment="1">
      <alignment horizontal="center" vertical="center" wrapText="1"/>
    </xf>
    <xf numFmtId="0" fontId="50" fillId="18" borderId="4" xfId="0" applyFont="1" applyFill="1" applyBorder="1" applyAlignment="1">
      <alignment horizontal="center" vertical="center" wrapText="1"/>
    </xf>
    <xf numFmtId="0" fontId="20" fillId="18" borderId="1" xfId="0" applyFont="1" applyFill="1" applyBorder="1" applyAlignment="1">
      <alignment horizontal="left" vertical="center" wrapText="1"/>
    </xf>
    <xf numFmtId="0" fontId="20" fillId="45" borderId="2" xfId="0" applyFont="1" applyFill="1" applyBorder="1" applyAlignment="1">
      <alignment horizontal="center" vertical="center" wrapText="1"/>
    </xf>
    <xf numFmtId="0" fontId="20" fillId="45" borderId="4" xfId="0" applyFont="1" applyFill="1" applyBorder="1" applyAlignment="1">
      <alignment horizontal="center" vertical="center" wrapText="1"/>
    </xf>
    <xf numFmtId="0" fontId="0" fillId="3" borderId="2" xfId="0" applyFill="1" applyBorder="1" applyAlignment="1">
      <alignment vertical="center" wrapText="1"/>
    </xf>
    <xf numFmtId="0" fontId="0" fillId="3" borderId="4" xfId="0" applyFill="1" applyBorder="1" applyAlignment="1">
      <alignment vertical="center" wrapText="1"/>
    </xf>
    <xf numFmtId="0" fontId="49" fillId="3" borderId="2" xfId="0" applyFont="1" applyFill="1" applyBorder="1" applyAlignment="1">
      <alignment vertical="center" wrapText="1"/>
    </xf>
    <xf numFmtId="0" fontId="49"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4" xfId="0" applyFont="1" applyFill="1" applyBorder="1" applyAlignment="1">
      <alignment vertical="center" wrapText="1"/>
    </xf>
    <xf numFmtId="0" fontId="50" fillId="3" borderId="2" xfId="0" applyFont="1" applyFill="1" applyBorder="1" applyAlignment="1">
      <alignment vertical="center" wrapText="1"/>
    </xf>
    <xf numFmtId="0" fontId="50" fillId="3" borderId="4" xfId="0" applyFont="1" applyFill="1" applyBorder="1" applyAlignment="1">
      <alignment vertical="center" wrapText="1"/>
    </xf>
    <xf numFmtId="0" fontId="0" fillId="11" borderId="2" xfId="0" applyFill="1" applyBorder="1" applyAlignment="1">
      <alignment vertical="center" wrapText="1"/>
    </xf>
    <xf numFmtId="0" fontId="0" fillId="11" borderId="4" xfId="0" applyFill="1" applyBorder="1" applyAlignment="1">
      <alignment vertical="center" wrapText="1"/>
    </xf>
    <xf numFmtId="0" fontId="49" fillId="11" borderId="2" xfId="0" applyFont="1" applyFill="1" applyBorder="1" applyAlignment="1">
      <alignment vertical="center" wrapText="1"/>
    </xf>
    <xf numFmtId="0" fontId="49" fillId="11" borderId="4" xfId="0" applyFont="1" applyFill="1" applyBorder="1" applyAlignment="1">
      <alignment vertical="center" wrapText="1"/>
    </xf>
    <xf numFmtId="0" fontId="20" fillId="2" borderId="2"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32" fillId="28" borderId="1" xfId="0" applyFont="1" applyFill="1" applyBorder="1" applyAlignment="1">
      <alignment horizontal="center"/>
    </xf>
    <xf numFmtId="0" fontId="0" fillId="3" borderId="26" xfId="0" applyFill="1" applyBorder="1" applyAlignment="1">
      <alignment horizontal="center" vertical="center" wrapText="1"/>
    </xf>
    <xf numFmtId="0" fontId="0" fillId="11" borderId="1" xfId="0" applyFill="1" applyBorder="1" applyAlignment="1">
      <alignment horizontal="center" vertical="center" wrapText="1"/>
    </xf>
    <xf numFmtId="0" fontId="15" fillId="27" borderId="6" xfId="0" applyFont="1" applyFill="1" applyBorder="1" applyAlignment="1">
      <alignment horizontal="center" vertical="center" wrapText="1"/>
    </xf>
    <xf numFmtId="0" fontId="15" fillId="27" borderId="7" xfId="0" applyFont="1" applyFill="1" applyBorder="1" applyAlignment="1">
      <alignment horizontal="center" vertical="center" wrapText="1"/>
    </xf>
    <xf numFmtId="0" fontId="15" fillId="27" borderId="8" xfId="0" applyFont="1" applyFill="1" applyBorder="1" applyAlignment="1">
      <alignment horizontal="center" vertical="center" wrapText="1"/>
    </xf>
    <xf numFmtId="0" fontId="15" fillId="27" borderId="9" xfId="0" applyFont="1" applyFill="1" applyBorder="1" applyAlignment="1">
      <alignment horizontal="center" vertical="center" wrapText="1"/>
    </xf>
    <xf numFmtId="0" fontId="15" fillId="27" borderId="10" xfId="0" applyFont="1" applyFill="1" applyBorder="1" applyAlignment="1">
      <alignment horizontal="center" vertical="center" wrapText="1"/>
    </xf>
    <xf numFmtId="0" fontId="15" fillId="27" borderId="11" xfId="0" applyFont="1" applyFill="1" applyBorder="1" applyAlignment="1">
      <alignment horizontal="center" vertical="center" wrapText="1"/>
    </xf>
    <xf numFmtId="0" fontId="46" fillId="46" borderId="2" xfId="0" applyFont="1" applyFill="1" applyBorder="1" applyAlignment="1">
      <alignment horizontal="center" vertical="center" wrapText="1"/>
    </xf>
    <xf numFmtId="0" fontId="46" fillId="46" borderId="4" xfId="0" applyFont="1" applyFill="1" applyBorder="1" applyAlignment="1">
      <alignment horizontal="center" vertical="center" wrapText="1"/>
    </xf>
    <xf numFmtId="0" fontId="50" fillId="2" borderId="2" xfId="0" applyFont="1" applyFill="1" applyBorder="1" applyAlignment="1">
      <alignment horizontal="left" vertical="center" wrapText="1"/>
    </xf>
    <xf numFmtId="0" fontId="50" fillId="2" borderId="4" xfId="0" applyFont="1" applyFill="1" applyBorder="1" applyAlignment="1">
      <alignment horizontal="left" vertical="center" wrapText="1"/>
    </xf>
    <xf numFmtId="0" fontId="20" fillId="13" borderId="2" xfId="0" applyFont="1" applyFill="1" applyBorder="1" applyAlignment="1">
      <alignment horizontal="left" vertical="center" wrapText="1"/>
    </xf>
    <xf numFmtId="0" fontId="20" fillId="13" borderId="4" xfId="0" applyFont="1" applyFill="1" applyBorder="1" applyAlignment="1">
      <alignment horizontal="left" vertical="center" wrapText="1"/>
    </xf>
    <xf numFmtId="0" fontId="32" fillId="3" borderId="1" xfId="0" applyFont="1" applyFill="1" applyBorder="1" applyAlignment="1">
      <alignment horizontal="center" vertical="center" wrapText="1"/>
    </xf>
    <xf numFmtId="0" fontId="26" fillId="27" borderId="1"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32" fillId="27" borderId="2" xfId="0" applyFont="1" applyFill="1" applyBorder="1" applyAlignment="1">
      <alignment horizontal="right" vertical="center" wrapText="1"/>
    </xf>
    <xf numFmtId="0" fontId="32" fillId="27" borderId="3" xfId="0" applyFont="1" applyFill="1" applyBorder="1" applyAlignment="1">
      <alignment horizontal="right" vertical="center" wrapText="1"/>
    </xf>
    <xf numFmtId="0" fontId="32" fillId="27" borderId="4" xfId="0" applyFont="1" applyFill="1" applyBorder="1" applyAlignment="1">
      <alignment horizontal="right" vertical="center" wrapText="1"/>
    </xf>
    <xf numFmtId="0" fontId="26" fillId="27" borderId="6" xfId="0" applyFont="1" applyFill="1" applyBorder="1" applyAlignment="1">
      <alignment horizontal="right"/>
    </xf>
    <xf numFmtId="0" fontId="26" fillId="27" borderId="7" xfId="0" applyFont="1" applyFill="1" applyBorder="1" applyAlignment="1">
      <alignment horizontal="right"/>
    </xf>
    <xf numFmtId="0" fontId="26" fillId="27" borderId="8" xfId="0" applyFont="1" applyFill="1" applyBorder="1" applyAlignment="1">
      <alignment horizontal="right"/>
    </xf>
    <xf numFmtId="0" fontId="22" fillId="18" borderId="2" xfId="0" applyFont="1" applyFill="1" applyBorder="1" applyAlignment="1">
      <alignment horizontal="left" vertical="center"/>
    </xf>
    <xf numFmtId="0" fontId="22" fillId="18" borderId="3" xfId="0" applyFont="1" applyFill="1" applyBorder="1" applyAlignment="1">
      <alignment horizontal="left" vertical="center"/>
    </xf>
    <xf numFmtId="0" fontId="22" fillId="18" borderId="4" xfId="0" applyFont="1" applyFill="1" applyBorder="1" applyAlignment="1">
      <alignment horizontal="left" vertical="center"/>
    </xf>
    <xf numFmtId="0" fontId="15" fillId="28" borderId="5" xfId="0" applyFont="1" applyFill="1" applyBorder="1" applyAlignment="1">
      <alignment horizontal="center" vertical="center" wrapText="1"/>
    </xf>
    <xf numFmtId="0" fontId="15" fillId="28" borderId="0" xfId="0" applyFont="1" applyFill="1" applyAlignment="1">
      <alignment horizontal="center" vertical="center" wrapText="1"/>
    </xf>
    <xf numFmtId="0" fontId="15" fillId="28" borderId="13" xfId="0" applyFont="1" applyFill="1" applyBorder="1" applyAlignment="1">
      <alignment horizontal="center" vertical="center" wrapText="1"/>
    </xf>
    <xf numFmtId="0" fontId="15" fillId="28" borderId="9" xfId="0" applyFont="1" applyFill="1" applyBorder="1" applyAlignment="1">
      <alignment horizontal="center" vertical="center" wrapText="1"/>
    </xf>
    <xf numFmtId="0" fontId="15" fillId="28" borderId="10" xfId="0" applyFont="1" applyFill="1" applyBorder="1" applyAlignment="1">
      <alignment horizontal="center" vertical="center" wrapText="1"/>
    </xf>
    <xf numFmtId="0" fontId="15" fillId="28" borderId="11" xfId="0" applyFont="1" applyFill="1" applyBorder="1" applyAlignment="1">
      <alignment horizontal="center" vertical="center" wrapText="1"/>
    </xf>
    <xf numFmtId="0" fontId="26" fillId="17" borderId="14" xfId="0" applyFont="1" applyFill="1" applyBorder="1" applyAlignment="1">
      <alignment horizontal="center"/>
    </xf>
    <xf numFmtId="0" fontId="51" fillId="12" borderId="14" xfId="0" applyFont="1" applyFill="1" applyBorder="1" applyAlignment="1">
      <alignment horizontal="right"/>
    </xf>
    <xf numFmtId="0" fontId="28" fillId="18" borderId="2" xfId="0" applyFont="1" applyFill="1" applyBorder="1" applyAlignment="1">
      <alignment horizontal="center" vertical="center"/>
    </xf>
    <xf numFmtId="0" fontId="28" fillId="18" borderId="3" xfId="0" applyFont="1" applyFill="1" applyBorder="1" applyAlignment="1">
      <alignment horizontal="center" vertical="center"/>
    </xf>
    <xf numFmtId="0" fontId="28" fillId="18" borderId="4" xfId="0" applyFont="1" applyFill="1" applyBorder="1" applyAlignment="1">
      <alignment horizontal="center" vertical="center"/>
    </xf>
    <xf numFmtId="0" fontId="28" fillId="23" borderId="2" xfId="0" applyFont="1" applyFill="1" applyBorder="1" applyAlignment="1">
      <alignment horizontal="center" vertical="center"/>
    </xf>
    <xf numFmtId="0" fontId="28" fillId="23" borderId="3" xfId="0" applyFont="1" applyFill="1" applyBorder="1" applyAlignment="1">
      <alignment horizontal="center" vertical="center"/>
    </xf>
    <xf numFmtId="0" fontId="28" fillId="23" borderId="4" xfId="0" applyFont="1" applyFill="1" applyBorder="1" applyAlignment="1">
      <alignment horizontal="center" vertical="center"/>
    </xf>
    <xf numFmtId="0" fontId="22" fillId="23" borderId="1" xfId="0" applyFont="1" applyFill="1" applyBorder="1" applyAlignment="1">
      <alignment horizontal="center" vertical="center" wrapText="1"/>
    </xf>
    <xf numFmtId="0" fontId="22" fillId="18" borderId="1" xfId="0" applyFont="1" applyFill="1" applyBorder="1" applyAlignment="1">
      <alignment vertical="center"/>
    </xf>
    <xf numFmtId="0" fontId="22" fillId="27" borderId="1" xfId="0" applyFont="1" applyFill="1" applyBorder="1" applyAlignment="1">
      <alignment vertical="center"/>
    </xf>
    <xf numFmtId="0" fontId="15" fillId="25" borderId="2" xfId="0" applyFont="1" applyFill="1" applyBorder="1" applyAlignment="1">
      <alignment horizontal="right" vertical="center" wrapText="1"/>
    </xf>
    <xf numFmtId="0" fontId="15" fillId="25" borderId="3" xfId="0" applyFont="1" applyFill="1" applyBorder="1" applyAlignment="1">
      <alignment horizontal="right" vertical="center" wrapText="1"/>
    </xf>
    <xf numFmtId="0" fontId="15" fillId="25" borderId="4" xfId="0" applyFont="1" applyFill="1" applyBorder="1" applyAlignment="1">
      <alignment horizontal="right" vertical="center" wrapText="1"/>
    </xf>
    <xf numFmtId="0" fontId="32" fillId="8" borderId="26" xfId="0" applyFont="1" applyFill="1" applyBorder="1" applyAlignment="1">
      <alignment horizontal="center" vertical="center" wrapText="1"/>
    </xf>
    <xf numFmtId="0" fontId="50" fillId="11" borderId="2" xfId="0" applyFont="1" applyFill="1" applyBorder="1" applyAlignment="1">
      <alignment horizontal="left" vertical="center" wrapText="1"/>
    </xf>
    <xf numFmtId="0" fontId="50" fillId="11" borderId="4" xfId="0" applyFont="1" applyFill="1" applyBorder="1" applyAlignment="1">
      <alignment horizontal="left" vertical="center" wrapText="1"/>
    </xf>
    <xf numFmtId="0" fontId="20" fillId="14" borderId="2" xfId="0" applyFont="1" applyFill="1" applyBorder="1" applyAlignment="1">
      <alignment horizontal="left" vertical="center" wrapText="1"/>
    </xf>
    <xf numFmtId="0" fontId="20" fillId="14" borderId="4" xfId="0" applyFont="1" applyFill="1" applyBorder="1" applyAlignment="1">
      <alignment horizontal="left" vertical="center" wrapText="1"/>
    </xf>
    <xf numFmtId="0" fontId="20" fillId="11" borderId="2" xfId="0" applyFont="1" applyFill="1" applyBorder="1" applyAlignment="1">
      <alignment horizontal="left" vertical="center" wrapText="1"/>
    </xf>
    <xf numFmtId="0" fontId="20" fillId="11" borderId="4" xfId="0" applyFont="1" applyFill="1" applyBorder="1" applyAlignment="1">
      <alignment horizontal="left" vertical="center" wrapText="1"/>
    </xf>
    <xf numFmtId="0" fontId="0" fillId="2" borderId="26" xfId="0" applyFill="1" applyBorder="1"/>
    <xf numFmtId="0" fontId="0" fillId="3" borderId="9" xfId="0" applyFill="1" applyBorder="1"/>
    <xf numFmtId="0" fontId="0" fillId="3" borderId="10" xfId="0" applyFill="1" applyBorder="1"/>
    <xf numFmtId="0" fontId="0" fillId="3" borderId="11" xfId="0" applyFill="1" applyBorder="1"/>
    <xf numFmtId="0" fontId="2" fillId="2" borderId="26" xfId="0" applyFont="1" applyFill="1" applyBorder="1"/>
    <xf numFmtId="0" fontId="15" fillId="4" borderId="0" xfId="0" applyFont="1" applyFill="1" applyAlignment="1">
      <alignment horizontal="left" vertical="center"/>
    </xf>
    <xf numFmtId="0" fontId="0" fillId="11" borderId="26" xfId="0" applyFill="1" applyBorder="1" applyAlignment="1">
      <alignment horizontal="center" vertical="center" wrapText="1"/>
    </xf>
    <xf numFmtId="0" fontId="34" fillId="42" borderId="2" xfId="0" applyFont="1" applyFill="1" applyBorder="1" applyAlignment="1">
      <alignment horizontal="left" vertical="center" wrapText="1"/>
    </xf>
    <xf numFmtId="0" fontId="34" fillId="42" borderId="4" xfId="0" applyFont="1" applyFill="1" applyBorder="1" applyAlignment="1">
      <alignment horizontal="left" vertical="center" wrapText="1"/>
    </xf>
    <xf numFmtId="0" fontId="47" fillId="26" borderId="1" xfId="0" applyFont="1" applyFill="1" applyBorder="1" applyAlignment="1">
      <alignment horizontal="center" vertical="center"/>
    </xf>
    <xf numFmtId="0" fontId="34" fillId="24" borderId="6" xfId="0" applyFont="1" applyFill="1" applyBorder="1" applyAlignment="1">
      <alignment horizontal="center" vertical="center"/>
    </xf>
    <xf numFmtId="0" fontId="34" fillId="24" borderId="7" xfId="0" applyFont="1" applyFill="1" applyBorder="1" applyAlignment="1">
      <alignment horizontal="center" vertical="center"/>
    </xf>
    <xf numFmtId="0" fontId="34" fillId="24" borderId="8" xfId="0" applyFont="1" applyFill="1" applyBorder="1" applyAlignment="1">
      <alignment horizontal="center" vertical="center"/>
    </xf>
    <xf numFmtId="0" fontId="34" fillId="24" borderId="6" xfId="0" applyFont="1" applyFill="1" applyBorder="1" applyAlignment="1">
      <alignment horizontal="center" vertical="center" wrapText="1"/>
    </xf>
    <xf numFmtId="0" fontId="34" fillId="24" borderId="7" xfId="0" applyFont="1" applyFill="1" applyBorder="1" applyAlignment="1">
      <alignment horizontal="center" vertical="center" wrapText="1"/>
    </xf>
    <xf numFmtId="0" fontId="34" fillId="24" borderId="8" xfId="0" applyFont="1" applyFill="1" applyBorder="1" applyAlignment="1">
      <alignment horizontal="center" vertical="center" wrapText="1"/>
    </xf>
    <xf numFmtId="0" fontId="72" fillId="24" borderId="2" xfId="0" applyFont="1" applyFill="1" applyBorder="1" applyAlignment="1">
      <alignment horizontal="center" vertical="center"/>
    </xf>
    <xf numFmtId="0" fontId="72" fillId="24" borderId="3" xfId="0" applyFont="1" applyFill="1" applyBorder="1" applyAlignment="1">
      <alignment horizontal="center" vertical="center"/>
    </xf>
    <xf numFmtId="0" fontId="72" fillId="24" borderId="4" xfId="0" applyFont="1" applyFill="1" applyBorder="1" applyAlignment="1">
      <alignment horizontal="center" vertical="center"/>
    </xf>
    <xf numFmtId="0" fontId="22" fillId="20" borderId="2" xfId="0" applyFont="1" applyFill="1" applyBorder="1" applyAlignment="1">
      <alignment vertical="center"/>
    </xf>
    <xf numFmtId="0" fontId="22" fillId="20" borderId="3" xfId="0" applyFont="1" applyFill="1" applyBorder="1" applyAlignment="1">
      <alignment vertical="center"/>
    </xf>
    <xf numFmtId="0" fontId="22" fillId="20" borderId="4" xfId="0" applyFont="1" applyFill="1" applyBorder="1" applyAlignment="1">
      <alignment vertical="center"/>
    </xf>
    <xf numFmtId="0" fontId="51" fillId="12" borderId="14" xfId="0" applyFont="1" applyFill="1" applyBorder="1" applyAlignment="1">
      <alignment horizontal="center"/>
    </xf>
    <xf numFmtId="0" fontId="71" fillId="41" borderId="2" xfId="0" applyFont="1" applyFill="1" applyBorder="1" applyAlignment="1">
      <alignment horizontal="left" vertical="center" wrapText="1"/>
    </xf>
    <xf numFmtId="0" fontId="71" fillId="41" borderId="4" xfId="0" applyFont="1" applyFill="1" applyBorder="1" applyAlignment="1">
      <alignment horizontal="left" vertical="center" wrapText="1"/>
    </xf>
    <xf numFmtId="0" fontId="71" fillId="42" borderId="2" xfId="0" applyFont="1" applyFill="1" applyBorder="1" applyAlignment="1">
      <alignment horizontal="left" vertical="center" wrapText="1"/>
    </xf>
    <xf numFmtId="0" fontId="71" fillId="42" borderId="4"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2" fillId="24" borderId="2" xfId="0" applyFont="1" applyFill="1" applyBorder="1" applyAlignment="1">
      <alignment vertical="center"/>
    </xf>
    <xf numFmtId="0" fontId="22" fillId="24" borderId="3" xfId="0" applyFont="1" applyFill="1" applyBorder="1" applyAlignment="1">
      <alignment vertical="center"/>
    </xf>
    <xf numFmtId="0" fontId="22" fillId="24" borderId="4" xfId="0" applyFont="1" applyFill="1" applyBorder="1" applyAlignment="1">
      <alignment vertical="center"/>
    </xf>
    <xf numFmtId="0" fontId="20" fillId="24" borderId="2" xfId="0" applyFont="1" applyFill="1" applyBorder="1" applyAlignment="1">
      <alignment horizontal="left" vertical="center" wrapText="1"/>
    </xf>
    <xf numFmtId="0" fontId="20" fillId="24" borderId="3" xfId="0" applyFont="1" applyFill="1" applyBorder="1" applyAlignment="1">
      <alignment horizontal="left" vertical="center" wrapText="1"/>
    </xf>
    <xf numFmtId="0" fontId="20" fillId="24" borderId="4" xfId="0" applyFont="1" applyFill="1" applyBorder="1" applyAlignment="1">
      <alignment horizontal="left" vertical="center" wrapText="1"/>
    </xf>
    <xf numFmtId="0" fontId="96" fillId="18" borderId="1" xfId="0" applyFont="1" applyFill="1" applyBorder="1" applyAlignment="1">
      <alignment horizontal="center" vertical="center" wrapText="1"/>
    </xf>
    <xf numFmtId="0" fontId="22" fillId="27" borderId="1" xfId="0" applyFont="1" applyFill="1" applyBorder="1" applyAlignment="1">
      <alignment horizontal="center" vertical="center" wrapText="1"/>
    </xf>
    <xf numFmtId="0" fontId="31" fillId="20" borderId="1" xfId="0" applyFont="1" applyFill="1" applyBorder="1" applyAlignment="1">
      <alignment horizontal="center" vertical="center"/>
    </xf>
    <xf numFmtId="0" fontId="32" fillId="47" borderId="10" xfId="0" applyFont="1" applyFill="1" applyBorder="1" applyAlignment="1">
      <alignment horizontal="center" vertical="center"/>
    </xf>
    <xf numFmtId="0" fontId="20" fillId="24" borderId="2" xfId="0" applyFont="1" applyFill="1" applyBorder="1" applyAlignment="1">
      <alignment horizontal="center" vertical="center" wrapText="1"/>
    </xf>
    <xf numFmtId="0" fontId="20" fillId="24" borderId="3" xfId="0" applyFont="1" applyFill="1" applyBorder="1" applyAlignment="1">
      <alignment horizontal="center" vertical="center" wrapText="1"/>
    </xf>
    <xf numFmtId="0" fontId="20" fillId="24" borderId="4" xfId="0" applyFont="1" applyFill="1" applyBorder="1" applyAlignment="1">
      <alignment horizontal="center" vertical="center" wrapText="1"/>
    </xf>
    <xf numFmtId="0" fontId="26" fillId="24" borderId="2" xfId="0" applyFont="1" applyFill="1" applyBorder="1" applyAlignment="1">
      <alignment horizontal="center"/>
    </xf>
    <xf numFmtId="0" fontId="26" fillId="24" borderId="3" xfId="0" applyFont="1" applyFill="1" applyBorder="1" applyAlignment="1">
      <alignment horizontal="center"/>
    </xf>
    <xf numFmtId="0" fontId="26" fillId="24" borderId="4" xfId="0" applyFont="1" applyFill="1" applyBorder="1" applyAlignment="1">
      <alignment horizontal="center"/>
    </xf>
    <xf numFmtId="0" fontId="22" fillId="20" borderId="1" xfId="0" applyFont="1" applyFill="1" applyBorder="1" applyAlignment="1">
      <alignment vertical="center"/>
    </xf>
    <xf numFmtId="0" fontId="22" fillId="7"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72" fillId="7" borderId="1" xfId="0" applyFont="1" applyFill="1" applyBorder="1" applyAlignment="1">
      <alignment horizontal="center" vertical="center" wrapText="1"/>
    </xf>
    <xf numFmtId="0" fontId="22" fillId="7" borderId="1" xfId="0" applyFont="1" applyFill="1" applyBorder="1" applyAlignment="1">
      <alignment vertical="center"/>
    </xf>
    <xf numFmtId="0" fontId="72" fillId="7" borderId="1" xfId="0" applyFont="1" applyFill="1" applyBorder="1" applyAlignment="1">
      <alignment horizontal="center"/>
    </xf>
    <xf numFmtId="44" fontId="52" fillId="28" borderId="2" xfId="246" applyFont="1" applyFill="1" applyBorder="1" applyAlignment="1" applyProtection="1">
      <alignment horizontal="left" vertical="center" wrapText="1"/>
      <protection locked="0"/>
    </xf>
    <xf numFmtId="44" fontId="52" fillId="28" borderId="3" xfId="246" applyFont="1" applyFill="1" applyBorder="1" applyAlignment="1" applyProtection="1">
      <alignment horizontal="left" vertical="center" wrapText="1"/>
      <protection locked="0"/>
    </xf>
    <xf numFmtId="44" fontId="52" fillId="28" borderId="4" xfId="246" applyFont="1" applyFill="1" applyBorder="1" applyAlignment="1" applyProtection="1">
      <alignment horizontal="left" vertical="center" wrapText="1"/>
      <protection locked="0"/>
    </xf>
    <xf numFmtId="0" fontId="26" fillId="43" borderId="1" xfId="0" applyFont="1" applyFill="1" applyBorder="1" applyAlignment="1">
      <alignment horizontal="right" vertical="center"/>
    </xf>
    <xf numFmtId="0" fontId="22" fillId="39" borderId="1" xfId="0" applyFont="1" applyFill="1" applyBorder="1" applyAlignment="1">
      <alignment vertical="center"/>
    </xf>
    <xf numFmtId="0" fontId="2" fillId="28" borderId="2" xfId="0" applyFont="1" applyFill="1" applyBorder="1" applyAlignment="1">
      <alignment horizontal="left" vertical="center" wrapText="1"/>
    </xf>
    <xf numFmtId="0" fontId="2" fillId="28" borderId="3" xfId="0" applyFont="1" applyFill="1" applyBorder="1" applyAlignment="1">
      <alignment horizontal="left" vertical="center" wrapText="1"/>
    </xf>
    <xf numFmtId="0" fontId="2" fillId="28" borderId="4" xfId="0" applyFont="1" applyFill="1" applyBorder="1" applyAlignment="1">
      <alignment horizontal="left" vertical="center" wrapText="1"/>
    </xf>
    <xf numFmtId="0" fontId="38" fillId="7" borderId="2" xfId="0" applyFont="1" applyFill="1" applyBorder="1" applyAlignment="1">
      <alignment horizontal="left" vertical="center" wrapText="1"/>
    </xf>
    <xf numFmtId="0" fontId="38" fillId="7" borderId="3" xfId="0" applyFont="1" applyFill="1" applyBorder="1" applyAlignment="1">
      <alignment horizontal="left" vertical="center" wrapText="1"/>
    </xf>
    <xf numFmtId="0" fontId="38" fillId="7" borderId="4"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34" fillId="24" borderId="1" xfId="0" applyFont="1" applyFill="1" applyBorder="1" applyAlignment="1">
      <alignment horizontal="center" vertical="center"/>
    </xf>
    <xf numFmtId="0" fontId="20" fillId="24" borderId="1" xfId="0" applyFont="1" applyFill="1" applyBorder="1" applyAlignment="1">
      <alignment horizontal="center" vertical="center" wrapText="1"/>
    </xf>
    <xf numFmtId="0" fontId="20" fillId="0" borderId="1" xfId="0" applyFont="1" applyBorder="1" applyAlignment="1">
      <alignment horizontal="center" wrapText="1"/>
    </xf>
    <xf numFmtId="0" fontId="72" fillId="24" borderId="1" xfId="0" applyFont="1" applyFill="1" applyBorder="1" applyAlignment="1">
      <alignment horizontal="center" vertical="center"/>
    </xf>
    <xf numFmtId="0" fontId="20" fillId="27" borderId="1" xfId="0" applyFont="1" applyFill="1" applyBorder="1" applyAlignment="1">
      <alignment horizontal="center" vertical="center" wrapText="1"/>
    </xf>
    <xf numFmtId="2" fontId="22" fillId="18" borderId="1" xfId="0" applyNumberFormat="1" applyFont="1" applyFill="1" applyBorder="1" applyAlignment="1">
      <alignment horizontal="center" vertical="center" wrapText="1"/>
    </xf>
    <xf numFmtId="2" fontId="22" fillId="23" borderId="1" xfId="0" applyNumberFormat="1" applyFont="1" applyFill="1" applyBorder="1" applyAlignment="1">
      <alignment horizontal="center" vertical="center" wrapText="1"/>
    </xf>
    <xf numFmtId="0" fontId="34" fillId="27" borderId="1" xfId="0" applyFont="1" applyFill="1" applyBorder="1" applyAlignment="1">
      <alignment horizontal="center" vertical="center"/>
    </xf>
    <xf numFmtId="0" fontId="22" fillId="23" borderId="2" xfId="0" applyFont="1" applyFill="1" applyBorder="1" applyAlignment="1">
      <alignment vertical="center"/>
    </xf>
    <xf numFmtId="0" fontId="22" fillId="23" borderId="3" xfId="0" applyFont="1" applyFill="1" applyBorder="1" applyAlignment="1">
      <alignment vertical="center"/>
    </xf>
    <xf numFmtId="0" fontId="22" fillId="23" borderId="4" xfId="0" applyFont="1" applyFill="1" applyBorder="1" applyAlignment="1">
      <alignment vertical="center"/>
    </xf>
    <xf numFmtId="0" fontId="22" fillId="23" borderId="2" xfId="0" applyFont="1" applyFill="1" applyBorder="1" applyAlignment="1">
      <alignment horizontal="center" vertical="center" wrapText="1"/>
    </xf>
    <xf numFmtId="0" fontId="22" fillId="23" borderId="3" xfId="0" applyFont="1" applyFill="1" applyBorder="1" applyAlignment="1">
      <alignment horizontal="center" vertical="center" wrapText="1"/>
    </xf>
    <xf numFmtId="0" fontId="22" fillId="23" borderId="4" xfId="0" applyFont="1" applyFill="1" applyBorder="1" applyAlignment="1">
      <alignment horizontal="center" vertical="center" wrapText="1"/>
    </xf>
    <xf numFmtId="44" fontId="76" fillId="7" borderId="2" xfId="0" applyNumberFormat="1" applyFont="1" applyFill="1" applyBorder="1" applyAlignment="1">
      <alignment horizontal="left" vertical="center" wrapText="1"/>
    </xf>
    <xf numFmtId="44" fontId="76" fillId="7" borderId="3" xfId="0" applyNumberFormat="1" applyFont="1" applyFill="1" applyBorder="1" applyAlignment="1">
      <alignment horizontal="left" vertical="center" wrapText="1"/>
    </xf>
    <xf numFmtId="44" fontId="76" fillId="7" borderId="4" xfId="0" applyNumberFormat="1" applyFont="1" applyFill="1" applyBorder="1" applyAlignment="1">
      <alignment horizontal="left" vertical="center" wrapText="1"/>
    </xf>
    <xf numFmtId="0" fontId="14" fillId="28" borderId="10" xfId="0" applyFont="1" applyFill="1" applyBorder="1" applyAlignment="1">
      <alignment horizontal="center" vertical="center"/>
    </xf>
    <xf numFmtId="0" fontId="0" fillId="28" borderId="10" xfId="0" applyFill="1" applyBorder="1"/>
    <xf numFmtId="0" fontId="72" fillId="2" borderId="1" xfId="0" applyFont="1" applyFill="1" applyBorder="1" applyAlignment="1">
      <alignment horizontal="center"/>
    </xf>
    <xf numFmtId="0" fontId="72" fillId="28" borderId="1" xfId="0" applyFont="1" applyFill="1" applyBorder="1" applyAlignment="1">
      <alignment horizontal="center" vertical="center"/>
    </xf>
    <xf numFmtId="0" fontId="34" fillId="24" borderId="1" xfId="0" applyFont="1" applyFill="1" applyBorder="1" applyAlignment="1">
      <alignment horizontal="center" vertical="center" wrapText="1"/>
    </xf>
    <xf numFmtId="0" fontId="34" fillId="24" borderId="2" xfId="0" applyFont="1" applyFill="1" applyBorder="1" applyAlignment="1">
      <alignment horizontal="center" vertical="center"/>
    </xf>
    <xf numFmtId="0" fontId="34" fillId="24" borderId="3" xfId="0" applyFont="1" applyFill="1" applyBorder="1" applyAlignment="1">
      <alignment horizontal="center" vertical="center"/>
    </xf>
    <xf numFmtId="0" fontId="34" fillId="24" borderId="4" xfId="0" applyFont="1" applyFill="1" applyBorder="1" applyAlignment="1">
      <alignment horizontal="center" vertical="center"/>
    </xf>
    <xf numFmtId="0" fontId="34" fillId="24" borderId="2" xfId="0" applyFont="1" applyFill="1" applyBorder="1" applyAlignment="1">
      <alignment horizontal="center" vertical="center" wrapText="1"/>
    </xf>
    <xf numFmtId="0" fontId="34" fillId="24" borderId="3" xfId="0" applyFont="1" applyFill="1" applyBorder="1" applyAlignment="1">
      <alignment horizontal="center" vertical="center" wrapText="1"/>
    </xf>
    <xf numFmtId="0" fontId="34" fillId="24" borderId="4" xfId="0" applyFont="1" applyFill="1" applyBorder="1" applyAlignment="1">
      <alignment horizontal="center" vertical="center" wrapText="1"/>
    </xf>
    <xf numFmtId="0" fontId="22" fillId="18" borderId="2" xfId="0" applyFont="1" applyFill="1" applyBorder="1" applyAlignment="1">
      <alignment horizontal="center" vertical="center" wrapText="1"/>
    </xf>
    <xf numFmtId="0" fontId="22" fillId="18" borderId="3" xfId="0" applyFont="1" applyFill="1" applyBorder="1" applyAlignment="1">
      <alignment horizontal="center" vertical="center" wrapText="1"/>
    </xf>
    <xf numFmtId="0" fontId="22" fillId="18" borderId="4" xfId="0" applyFont="1" applyFill="1" applyBorder="1" applyAlignment="1">
      <alignment horizontal="center" vertical="center" wrapText="1"/>
    </xf>
    <xf numFmtId="0" fontId="22" fillId="2" borderId="1" xfId="0" applyFont="1" applyFill="1" applyBorder="1" applyAlignment="1">
      <alignment vertical="center"/>
    </xf>
    <xf numFmtId="0" fontId="14" fillId="27" borderId="10" xfId="0" applyFont="1" applyFill="1" applyBorder="1" applyAlignment="1">
      <alignment horizontal="center" vertical="center"/>
    </xf>
    <xf numFmtId="0" fontId="14" fillId="27" borderId="2" xfId="0" applyFont="1" applyFill="1" applyBorder="1" applyAlignment="1">
      <alignment horizontal="center" vertical="center"/>
    </xf>
    <xf numFmtId="0" fontId="14" fillId="27" borderId="3" xfId="0" applyFont="1" applyFill="1" applyBorder="1" applyAlignment="1">
      <alignment horizontal="center" vertical="center"/>
    </xf>
    <xf numFmtId="0" fontId="14" fillId="27" borderId="4" xfId="0" applyFont="1" applyFill="1" applyBorder="1" applyAlignment="1">
      <alignment horizontal="center" vertical="center"/>
    </xf>
    <xf numFmtId="0" fontId="14" fillId="3" borderId="1" xfId="0" applyFont="1" applyFill="1" applyBorder="1" applyAlignment="1">
      <alignment horizontal="left" vertical="center" wrapText="1"/>
    </xf>
    <xf numFmtId="0" fontId="20" fillId="23" borderId="2" xfId="0" applyFont="1" applyFill="1" applyBorder="1" applyAlignment="1">
      <alignment vertical="center" wrapText="1"/>
    </xf>
    <xf numFmtId="0" fontId="20" fillId="23" borderId="3" xfId="0" applyFont="1" applyFill="1" applyBorder="1" applyAlignment="1">
      <alignment vertical="center" wrapText="1"/>
    </xf>
    <xf numFmtId="0" fontId="20" fillId="18" borderId="2" xfId="0" applyFont="1" applyFill="1" applyBorder="1" applyAlignment="1">
      <alignment vertical="center" wrapText="1"/>
    </xf>
    <xf numFmtId="0" fontId="20" fillId="18" borderId="3" xfId="0" applyFont="1" applyFill="1" applyBorder="1" applyAlignment="1">
      <alignment vertical="center" wrapText="1"/>
    </xf>
    <xf numFmtId="0" fontId="20" fillId="18" borderId="4" xfId="0" applyFont="1" applyFill="1" applyBorder="1" applyAlignment="1">
      <alignment vertical="center" wrapText="1"/>
    </xf>
    <xf numFmtId="0" fontId="20" fillId="23" borderId="4" xfId="0" applyFont="1" applyFill="1" applyBorder="1" applyAlignment="1">
      <alignment vertical="center" wrapText="1"/>
    </xf>
    <xf numFmtId="0" fontId="77" fillId="27" borderId="1" xfId="0" applyFont="1" applyFill="1" applyBorder="1" applyAlignment="1">
      <alignment horizontal="center" vertical="center" wrapText="1"/>
    </xf>
    <xf numFmtId="0" fontId="23" fillId="27" borderId="10" xfId="0" applyFont="1" applyFill="1" applyBorder="1" applyAlignment="1">
      <alignment horizontal="center" vertical="center"/>
    </xf>
    <xf numFmtId="0" fontId="23" fillId="27" borderId="11" xfId="0" applyFont="1" applyFill="1" applyBorder="1" applyAlignment="1">
      <alignment horizontal="center" vertical="center"/>
    </xf>
    <xf numFmtId="0" fontId="52" fillId="25" borderId="1" xfId="0" applyFont="1" applyFill="1" applyBorder="1" applyAlignment="1">
      <alignment horizontal="center" vertical="center" wrapText="1"/>
    </xf>
    <xf numFmtId="0" fontId="26" fillId="47" borderId="14" xfId="0" applyFont="1" applyFill="1" applyBorder="1" applyAlignment="1">
      <alignment horizontal="right"/>
    </xf>
    <xf numFmtId="0" fontId="26" fillId="27" borderId="14" xfId="0" applyFont="1" applyFill="1" applyBorder="1" applyAlignment="1">
      <alignment horizontal="center"/>
    </xf>
    <xf numFmtId="0" fontId="52" fillId="4" borderId="35" xfId="0" applyFont="1" applyFill="1" applyBorder="1" applyAlignment="1">
      <alignment horizontal="left" vertical="top"/>
    </xf>
    <xf numFmtId="0" fontId="72" fillId="28" borderId="2" xfId="0" applyFont="1" applyFill="1" applyBorder="1" applyAlignment="1">
      <alignment horizontal="center" vertical="center"/>
    </xf>
    <xf numFmtId="0" fontId="72" fillId="28" borderId="3" xfId="0" applyFont="1" applyFill="1" applyBorder="1" applyAlignment="1">
      <alignment horizontal="center" vertical="center"/>
    </xf>
    <xf numFmtId="0" fontId="72" fillId="28" borderId="4" xfId="0" applyFont="1" applyFill="1" applyBorder="1" applyAlignment="1">
      <alignment horizontal="center" vertical="center"/>
    </xf>
    <xf numFmtId="0" fontId="20" fillId="28" borderId="2" xfId="0" applyFont="1" applyFill="1" applyBorder="1" applyAlignment="1">
      <alignment horizontal="center" vertical="center" wrapText="1"/>
    </xf>
    <xf numFmtId="0" fontId="20" fillId="28" borderId="3" xfId="0" applyFont="1" applyFill="1" applyBorder="1" applyAlignment="1">
      <alignment horizontal="center" vertical="center" wrapText="1"/>
    </xf>
    <xf numFmtId="0" fontId="20" fillId="28" borderId="4" xfId="0" applyFont="1" applyFill="1" applyBorder="1" applyAlignment="1">
      <alignment horizontal="center" vertical="center" wrapText="1"/>
    </xf>
    <xf numFmtId="0" fontId="22" fillId="2" borderId="2" xfId="0" applyFont="1" applyFill="1" applyBorder="1" applyAlignment="1">
      <alignment vertical="center"/>
    </xf>
    <xf numFmtId="0" fontId="22" fillId="2" borderId="3" xfId="0" applyFont="1" applyFill="1" applyBorder="1" applyAlignment="1">
      <alignment vertical="center"/>
    </xf>
    <xf numFmtId="0" fontId="22" fillId="2" borderId="4" xfId="0" applyFont="1" applyFill="1" applyBorder="1" applyAlignment="1">
      <alignment vertical="center"/>
    </xf>
    <xf numFmtId="0" fontId="20" fillId="2" borderId="3" xfId="0" applyFont="1" applyFill="1" applyBorder="1" applyAlignment="1">
      <alignment horizontal="left" vertical="center" wrapText="1"/>
    </xf>
    <xf numFmtId="0" fontId="22" fillId="7" borderId="2" xfId="0" applyFont="1" applyFill="1" applyBorder="1" applyAlignment="1">
      <alignment vertical="center"/>
    </xf>
    <xf numFmtId="0" fontId="22" fillId="7" borderId="3" xfId="0" applyFont="1" applyFill="1" applyBorder="1" applyAlignment="1">
      <alignment vertical="center"/>
    </xf>
    <xf numFmtId="0" fontId="22" fillId="7" borderId="4" xfId="0" applyFont="1" applyFill="1" applyBorder="1" applyAlignment="1">
      <alignment vertical="center"/>
    </xf>
    <xf numFmtId="0" fontId="20" fillId="7" borderId="2" xfId="0" applyFont="1" applyFill="1" applyBorder="1" applyAlignment="1">
      <alignment horizontal="left" vertical="center" wrapText="1"/>
    </xf>
    <xf numFmtId="0" fontId="20" fillId="7" borderId="3"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22" fillId="28" borderId="2" xfId="0" applyFont="1" applyFill="1" applyBorder="1" applyAlignment="1">
      <alignment vertical="center"/>
    </xf>
    <xf numFmtId="0" fontId="22" fillId="28" borderId="3" xfId="0" applyFont="1" applyFill="1" applyBorder="1" applyAlignment="1">
      <alignment vertical="center"/>
    </xf>
    <xf numFmtId="0" fontId="22" fillId="28" borderId="4" xfId="0" applyFont="1" applyFill="1" applyBorder="1" applyAlignment="1">
      <alignment vertical="center"/>
    </xf>
    <xf numFmtId="0" fontId="20" fillId="28" borderId="2" xfId="0" applyFont="1" applyFill="1" applyBorder="1" applyAlignment="1">
      <alignment horizontal="left" vertical="center" wrapText="1"/>
    </xf>
    <xf numFmtId="0" fontId="20" fillId="28" borderId="3" xfId="0" applyFont="1" applyFill="1" applyBorder="1" applyAlignment="1">
      <alignment horizontal="left" vertical="center" wrapText="1"/>
    </xf>
    <xf numFmtId="0" fontId="20" fillId="28" borderId="4" xfId="0" applyFont="1" applyFill="1" applyBorder="1" applyAlignment="1">
      <alignment horizontal="left" vertical="center" wrapText="1"/>
    </xf>
    <xf numFmtId="0" fontId="34" fillId="28" borderId="6" xfId="0" applyFont="1" applyFill="1" applyBorder="1" applyAlignment="1">
      <alignment horizontal="center" vertical="center"/>
    </xf>
    <xf numFmtId="0" fontId="34" fillId="28" borderId="7" xfId="0" applyFont="1" applyFill="1" applyBorder="1" applyAlignment="1">
      <alignment horizontal="center" vertical="center"/>
    </xf>
    <xf numFmtId="0" fontId="34" fillId="28" borderId="8" xfId="0" applyFont="1" applyFill="1" applyBorder="1" applyAlignment="1">
      <alignment horizontal="center" vertical="center"/>
    </xf>
    <xf numFmtId="0" fontId="34" fillId="28" borderId="6" xfId="0" applyFont="1" applyFill="1" applyBorder="1" applyAlignment="1">
      <alignment horizontal="center" vertical="center" wrapText="1"/>
    </xf>
    <xf numFmtId="0" fontId="34" fillId="28" borderId="7" xfId="0" applyFont="1" applyFill="1" applyBorder="1" applyAlignment="1">
      <alignment horizontal="center" vertical="center" wrapText="1"/>
    </xf>
    <xf numFmtId="0" fontId="34" fillId="28" borderId="8" xfId="0" applyFont="1" applyFill="1" applyBorder="1" applyAlignment="1">
      <alignment horizontal="center" vertical="center" wrapText="1"/>
    </xf>
    <xf numFmtId="0" fontId="14" fillId="29" borderId="2" xfId="0" applyFont="1" applyFill="1" applyBorder="1" applyAlignment="1">
      <alignment vertical="center" wrapText="1"/>
    </xf>
    <xf numFmtId="0" fontId="14" fillId="29" borderId="3" xfId="0" applyFont="1" applyFill="1" applyBorder="1" applyAlignment="1">
      <alignment vertical="center" wrapText="1"/>
    </xf>
    <xf numFmtId="0" fontId="14" fillId="29" borderId="4" xfId="0" applyFont="1" applyFill="1" applyBorder="1" applyAlignment="1">
      <alignment vertical="center" wrapText="1"/>
    </xf>
    <xf numFmtId="0" fontId="14" fillId="29" borderId="2" xfId="0" applyFont="1" applyFill="1" applyBorder="1" applyAlignment="1">
      <alignment horizontal="center"/>
    </xf>
    <xf numFmtId="0" fontId="14" fillId="29" borderId="3" xfId="0" applyFont="1" applyFill="1" applyBorder="1" applyAlignment="1">
      <alignment horizontal="center"/>
    </xf>
    <xf numFmtId="0" fontId="14" fillId="29" borderId="4" xfId="0" applyFont="1" applyFill="1" applyBorder="1" applyAlignment="1">
      <alignment horizontal="center"/>
    </xf>
    <xf numFmtId="0" fontId="22" fillId="23" borderId="1" xfId="0" applyFont="1" applyFill="1" applyBorder="1" applyAlignment="1">
      <alignment vertical="center"/>
    </xf>
    <xf numFmtId="0" fontId="32" fillId="27" borderId="10" xfId="0" applyFont="1" applyFill="1" applyBorder="1" applyAlignment="1">
      <alignment horizontal="center" vertical="center"/>
    </xf>
    <xf numFmtId="0" fontId="22" fillId="18" borderId="1" xfId="0" applyFont="1" applyFill="1" applyBorder="1" applyAlignment="1">
      <alignment horizontal="center" vertical="center" wrapText="1"/>
    </xf>
    <xf numFmtId="0" fontId="32" fillId="3" borderId="26" xfId="0" applyFont="1" applyFill="1" applyBorder="1" applyAlignment="1">
      <alignment horizontal="center" vertical="center" wrapText="1"/>
    </xf>
    <xf numFmtId="0" fontId="20" fillId="0" borderId="1" xfId="0" applyFont="1" applyBorder="1" applyAlignment="1">
      <alignment horizontal="center"/>
    </xf>
    <xf numFmtId="0" fontId="15" fillId="17" borderId="1" xfId="0" applyFont="1" applyFill="1" applyBorder="1" applyAlignment="1">
      <alignment horizontal="right" vertical="center" wrapText="1"/>
    </xf>
    <xf numFmtId="44" fontId="15" fillId="17" borderId="2" xfId="0" applyNumberFormat="1" applyFont="1" applyFill="1" applyBorder="1" applyAlignment="1">
      <alignment horizontal="left" vertical="center" wrapText="1"/>
    </xf>
    <xf numFmtId="44" fontId="15" fillId="17" borderId="3" xfId="0" applyNumberFormat="1" applyFont="1" applyFill="1" applyBorder="1" applyAlignment="1">
      <alignment horizontal="left" vertical="center" wrapText="1"/>
    </xf>
    <xf numFmtId="44" fontId="15" fillId="17" borderId="4" xfId="0" applyNumberFormat="1" applyFont="1" applyFill="1" applyBorder="1" applyAlignment="1">
      <alignment horizontal="left" vertical="center" wrapText="1"/>
    </xf>
    <xf numFmtId="0" fontId="22" fillId="2" borderId="2"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44" fontId="75" fillId="2" borderId="2" xfId="0" applyNumberFormat="1" applyFont="1" applyFill="1" applyBorder="1" applyAlignment="1">
      <alignment horizontal="left" vertical="center" wrapText="1"/>
    </xf>
    <xf numFmtId="44" fontId="75" fillId="2" borderId="3" xfId="0" applyNumberFormat="1" applyFont="1" applyFill="1" applyBorder="1" applyAlignment="1">
      <alignment horizontal="left" vertical="center" wrapText="1"/>
    </xf>
    <xf numFmtId="44" fontId="75" fillId="2" borderId="4" xfId="0" applyNumberFormat="1" applyFont="1" applyFill="1" applyBorder="1" applyAlignment="1">
      <alignment horizontal="left" vertical="center" wrapText="1"/>
    </xf>
    <xf numFmtId="0" fontId="0" fillId="2" borderId="1" xfId="0" applyFill="1" applyBorder="1" applyAlignment="1">
      <alignment horizontal="left" vertical="center" wrapText="1"/>
    </xf>
    <xf numFmtId="44" fontId="24" fillId="2" borderId="2" xfId="0" applyNumberFormat="1" applyFont="1" applyFill="1" applyBorder="1" applyAlignment="1">
      <alignment horizontal="left" vertical="center" wrapText="1"/>
    </xf>
    <xf numFmtId="44" fontId="24" fillId="2" borderId="3" xfId="0" applyNumberFormat="1" applyFont="1" applyFill="1" applyBorder="1" applyAlignment="1">
      <alignment horizontal="left" vertical="center" wrapText="1"/>
    </xf>
    <xf numFmtId="44" fontId="24" fillId="2" borderId="4" xfId="0" applyNumberFormat="1" applyFont="1" applyFill="1" applyBorder="1" applyAlignment="1">
      <alignment horizontal="left" vertical="center" wrapText="1"/>
    </xf>
    <xf numFmtId="0" fontId="74" fillId="7" borderId="2" xfId="0" applyFont="1" applyFill="1" applyBorder="1" applyAlignment="1">
      <alignment horizontal="left" vertical="center"/>
    </xf>
    <xf numFmtId="0" fontId="74" fillId="7" borderId="3" xfId="0" applyFont="1" applyFill="1" applyBorder="1" applyAlignment="1">
      <alignment horizontal="left" vertical="center"/>
    </xf>
    <xf numFmtId="0" fontId="74" fillId="7" borderId="4" xfId="0" applyFont="1" applyFill="1" applyBorder="1" applyAlignment="1">
      <alignment horizontal="left" vertical="center"/>
    </xf>
    <xf numFmtId="0" fontId="77" fillId="47" borderId="1" xfId="0" applyFont="1" applyFill="1" applyBorder="1" applyAlignment="1">
      <alignment horizontal="center" vertical="center"/>
    </xf>
    <xf numFmtId="0" fontId="22" fillId="7" borderId="2" xfId="0" applyFont="1" applyFill="1" applyBorder="1" applyAlignment="1">
      <alignment horizontal="left" vertical="center"/>
    </xf>
    <xf numFmtId="0" fontId="22" fillId="7" borderId="3" xfId="0" applyFont="1" applyFill="1" applyBorder="1" applyAlignment="1">
      <alignment horizontal="left" vertical="center"/>
    </xf>
    <xf numFmtId="0" fontId="22" fillId="7" borderId="4" xfId="0" applyFont="1" applyFill="1" applyBorder="1" applyAlignment="1">
      <alignment horizontal="left" vertical="center"/>
    </xf>
    <xf numFmtId="0" fontId="26" fillId="17" borderId="6" xfId="0" applyFont="1" applyFill="1" applyBorder="1" applyAlignment="1">
      <alignment horizontal="right"/>
    </xf>
    <xf numFmtId="0" fontId="26" fillId="17" borderId="7" xfId="0" applyFont="1" applyFill="1" applyBorder="1" applyAlignment="1">
      <alignment horizontal="right"/>
    </xf>
    <xf numFmtId="0" fontId="26" fillId="17" borderId="8" xfId="0" applyFont="1" applyFill="1" applyBorder="1" applyAlignment="1">
      <alignment horizontal="right"/>
    </xf>
    <xf numFmtId="0" fontId="21" fillId="2" borderId="41" xfId="0" applyFont="1" applyFill="1" applyBorder="1" applyAlignment="1">
      <alignment horizontal="center" vertical="center"/>
    </xf>
    <xf numFmtId="44" fontId="75" fillId="7" borderId="2" xfId="0" applyNumberFormat="1" applyFont="1" applyFill="1" applyBorder="1" applyAlignment="1">
      <alignment vertical="center" wrapText="1"/>
    </xf>
    <xf numFmtId="44" fontId="75" fillId="7" borderId="3" xfId="0" applyNumberFormat="1" applyFont="1" applyFill="1" applyBorder="1" applyAlignment="1">
      <alignment vertical="center" wrapText="1"/>
    </xf>
    <xf numFmtId="44" fontId="75" fillId="7" borderId="4" xfId="0" applyNumberFormat="1" applyFont="1" applyFill="1" applyBorder="1" applyAlignment="1">
      <alignment vertical="center" wrapText="1"/>
    </xf>
    <xf numFmtId="0" fontId="20" fillId="7" borderId="1" xfId="0" applyFont="1" applyFill="1" applyBorder="1" applyAlignment="1">
      <alignment horizontal="righ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14" fillId="7" borderId="1" xfId="0" applyFont="1" applyFill="1" applyBorder="1" applyAlignment="1">
      <alignment horizontal="left" vertical="center" wrapText="1"/>
    </xf>
    <xf numFmtId="0" fontId="100" fillId="23" borderId="2" xfId="0" applyFont="1" applyFill="1" applyBorder="1" applyAlignment="1">
      <alignment horizontal="center" vertical="center"/>
    </xf>
    <xf numFmtId="0" fontId="100" fillId="23" borderId="3" xfId="0" applyFont="1" applyFill="1" applyBorder="1" applyAlignment="1">
      <alignment horizontal="center" vertical="center"/>
    </xf>
    <xf numFmtId="0" fontId="100" fillId="23" borderId="4" xfId="0" applyFont="1" applyFill="1" applyBorder="1" applyAlignment="1">
      <alignment horizontal="center" vertical="center"/>
    </xf>
    <xf numFmtId="0" fontId="77" fillId="25" borderId="1" xfId="0" applyFont="1" applyFill="1" applyBorder="1" applyAlignment="1">
      <alignment horizontal="center" vertical="center"/>
    </xf>
    <xf numFmtId="0" fontId="77" fillId="27" borderId="1" xfId="0" applyFont="1" applyFill="1" applyBorder="1" applyAlignment="1">
      <alignment horizontal="center" vertical="center"/>
    </xf>
    <xf numFmtId="0" fontId="20" fillId="28" borderId="1" xfId="0" applyFont="1" applyFill="1" applyBorder="1" applyAlignment="1">
      <alignment horizontal="center" vertical="center" wrapText="1"/>
    </xf>
    <xf numFmtId="0" fontId="0" fillId="0" borderId="0" xfId="0"/>
    <xf numFmtId="0" fontId="0" fillId="0" borderId="13" xfId="0" applyBorder="1"/>
    <xf numFmtId="0" fontId="0" fillId="5" borderId="0" xfId="0" applyFill="1"/>
  </cellXfs>
  <cellStyles count="247">
    <cellStyle name="Comma 2" xfId="6" xr:uid="{00000000-0005-0000-0000-000000000000}"/>
    <cellStyle name="Currency" xfId="246" builtinId="4"/>
    <cellStyle name="Currency 2" xfId="7" xr:uid="{00000000-0005-0000-0000-000002000000}"/>
    <cellStyle name="Currency 2 10" xfId="10" xr:uid="{00000000-0005-0000-0000-000003000000}"/>
    <cellStyle name="Currency 2 100" xfId="11" xr:uid="{00000000-0005-0000-0000-000004000000}"/>
    <cellStyle name="Currency 2 101" xfId="12" xr:uid="{00000000-0005-0000-0000-000005000000}"/>
    <cellStyle name="Currency 2 102" xfId="13" xr:uid="{00000000-0005-0000-0000-000006000000}"/>
    <cellStyle name="Currency 2 103" xfId="14" xr:uid="{00000000-0005-0000-0000-000007000000}"/>
    <cellStyle name="Currency 2 104" xfId="15" xr:uid="{00000000-0005-0000-0000-000008000000}"/>
    <cellStyle name="Currency 2 105" xfId="16" xr:uid="{00000000-0005-0000-0000-000009000000}"/>
    <cellStyle name="Currency 2 106" xfId="17" xr:uid="{00000000-0005-0000-0000-00000A000000}"/>
    <cellStyle name="Currency 2 107" xfId="18" xr:uid="{00000000-0005-0000-0000-00000B000000}"/>
    <cellStyle name="Currency 2 108" xfId="19" xr:uid="{00000000-0005-0000-0000-00000C000000}"/>
    <cellStyle name="Currency 2 109" xfId="20" xr:uid="{00000000-0005-0000-0000-00000D000000}"/>
    <cellStyle name="Currency 2 11" xfId="21" xr:uid="{00000000-0005-0000-0000-00000E000000}"/>
    <cellStyle name="Currency 2 110" xfId="22" xr:uid="{00000000-0005-0000-0000-00000F000000}"/>
    <cellStyle name="Currency 2 111" xfId="23" xr:uid="{00000000-0005-0000-0000-000010000000}"/>
    <cellStyle name="Currency 2 112" xfId="24" xr:uid="{00000000-0005-0000-0000-000011000000}"/>
    <cellStyle name="Currency 2 113" xfId="25" xr:uid="{00000000-0005-0000-0000-000012000000}"/>
    <cellStyle name="Currency 2 114" xfId="26" xr:uid="{00000000-0005-0000-0000-000013000000}"/>
    <cellStyle name="Currency 2 115" xfId="27" xr:uid="{00000000-0005-0000-0000-000014000000}"/>
    <cellStyle name="Currency 2 116" xfId="28" xr:uid="{00000000-0005-0000-0000-000015000000}"/>
    <cellStyle name="Currency 2 117" xfId="29" xr:uid="{00000000-0005-0000-0000-000016000000}"/>
    <cellStyle name="Currency 2 118" xfId="30" xr:uid="{00000000-0005-0000-0000-000017000000}"/>
    <cellStyle name="Currency 2 119" xfId="31" xr:uid="{00000000-0005-0000-0000-000018000000}"/>
    <cellStyle name="Currency 2 12" xfId="32" xr:uid="{00000000-0005-0000-0000-000019000000}"/>
    <cellStyle name="Currency 2 120" xfId="33" xr:uid="{00000000-0005-0000-0000-00001A000000}"/>
    <cellStyle name="Currency 2 121" xfId="34" xr:uid="{00000000-0005-0000-0000-00001B000000}"/>
    <cellStyle name="Currency 2 122" xfId="35" xr:uid="{00000000-0005-0000-0000-00001C000000}"/>
    <cellStyle name="Currency 2 123" xfId="36" xr:uid="{00000000-0005-0000-0000-00001D000000}"/>
    <cellStyle name="Currency 2 124" xfId="37" xr:uid="{00000000-0005-0000-0000-00001E000000}"/>
    <cellStyle name="Currency 2 125" xfId="38" xr:uid="{00000000-0005-0000-0000-00001F000000}"/>
    <cellStyle name="Currency 2 126" xfId="39" xr:uid="{00000000-0005-0000-0000-000020000000}"/>
    <cellStyle name="Currency 2 127" xfId="40" xr:uid="{00000000-0005-0000-0000-000021000000}"/>
    <cellStyle name="Currency 2 128" xfId="41" xr:uid="{00000000-0005-0000-0000-000022000000}"/>
    <cellStyle name="Currency 2 13" xfId="42" xr:uid="{00000000-0005-0000-0000-000023000000}"/>
    <cellStyle name="Currency 2 14" xfId="43" xr:uid="{00000000-0005-0000-0000-000024000000}"/>
    <cellStyle name="Currency 2 15" xfId="44" xr:uid="{00000000-0005-0000-0000-000025000000}"/>
    <cellStyle name="Currency 2 16" xfId="45" xr:uid="{00000000-0005-0000-0000-000026000000}"/>
    <cellStyle name="Currency 2 17" xfId="46" xr:uid="{00000000-0005-0000-0000-000027000000}"/>
    <cellStyle name="Currency 2 18" xfId="47" xr:uid="{00000000-0005-0000-0000-000028000000}"/>
    <cellStyle name="Currency 2 19" xfId="48" xr:uid="{00000000-0005-0000-0000-000029000000}"/>
    <cellStyle name="Currency 2 2" xfId="49" xr:uid="{00000000-0005-0000-0000-00002A000000}"/>
    <cellStyle name="Currency 2 20" xfId="50" xr:uid="{00000000-0005-0000-0000-00002B000000}"/>
    <cellStyle name="Currency 2 21" xfId="51" xr:uid="{00000000-0005-0000-0000-00002C000000}"/>
    <cellStyle name="Currency 2 22" xfId="52" xr:uid="{00000000-0005-0000-0000-00002D000000}"/>
    <cellStyle name="Currency 2 23" xfId="53" xr:uid="{00000000-0005-0000-0000-00002E000000}"/>
    <cellStyle name="Currency 2 24" xfId="54" xr:uid="{00000000-0005-0000-0000-00002F000000}"/>
    <cellStyle name="Currency 2 25" xfId="55" xr:uid="{00000000-0005-0000-0000-000030000000}"/>
    <cellStyle name="Currency 2 26" xfId="56" xr:uid="{00000000-0005-0000-0000-000031000000}"/>
    <cellStyle name="Currency 2 27" xfId="57" xr:uid="{00000000-0005-0000-0000-000032000000}"/>
    <cellStyle name="Currency 2 28" xfId="58" xr:uid="{00000000-0005-0000-0000-000033000000}"/>
    <cellStyle name="Currency 2 29" xfId="59" xr:uid="{00000000-0005-0000-0000-000034000000}"/>
    <cellStyle name="Currency 2 3" xfId="60" xr:uid="{00000000-0005-0000-0000-000035000000}"/>
    <cellStyle name="Currency 2 30" xfId="61" xr:uid="{00000000-0005-0000-0000-000036000000}"/>
    <cellStyle name="Currency 2 31" xfId="62" xr:uid="{00000000-0005-0000-0000-000037000000}"/>
    <cellStyle name="Currency 2 32" xfId="63" xr:uid="{00000000-0005-0000-0000-000038000000}"/>
    <cellStyle name="Currency 2 33" xfId="64" xr:uid="{00000000-0005-0000-0000-000039000000}"/>
    <cellStyle name="Currency 2 34" xfId="65" xr:uid="{00000000-0005-0000-0000-00003A000000}"/>
    <cellStyle name="Currency 2 35" xfId="66" xr:uid="{00000000-0005-0000-0000-00003B000000}"/>
    <cellStyle name="Currency 2 36" xfId="67" xr:uid="{00000000-0005-0000-0000-00003C000000}"/>
    <cellStyle name="Currency 2 37" xfId="68" xr:uid="{00000000-0005-0000-0000-00003D000000}"/>
    <cellStyle name="Currency 2 38" xfId="69" xr:uid="{00000000-0005-0000-0000-00003E000000}"/>
    <cellStyle name="Currency 2 39" xfId="70" xr:uid="{00000000-0005-0000-0000-00003F000000}"/>
    <cellStyle name="Currency 2 4" xfId="71" xr:uid="{00000000-0005-0000-0000-000040000000}"/>
    <cellStyle name="Currency 2 40" xfId="72" xr:uid="{00000000-0005-0000-0000-000041000000}"/>
    <cellStyle name="Currency 2 41" xfId="73" xr:uid="{00000000-0005-0000-0000-000042000000}"/>
    <cellStyle name="Currency 2 42" xfId="74" xr:uid="{00000000-0005-0000-0000-000043000000}"/>
    <cellStyle name="Currency 2 43" xfId="75" xr:uid="{00000000-0005-0000-0000-000044000000}"/>
    <cellStyle name="Currency 2 44" xfId="76" xr:uid="{00000000-0005-0000-0000-000045000000}"/>
    <cellStyle name="Currency 2 45" xfId="77" xr:uid="{00000000-0005-0000-0000-000046000000}"/>
    <cellStyle name="Currency 2 46" xfId="78" xr:uid="{00000000-0005-0000-0000-000047000000}"/>
    <cellStyle name="Currency 2 47" xfId="79" xr:uid="{00000000-0005-0000-0000-000048000000}"/>
    <cellStyle name="Currency 2 48" xfId="80" xr:uid="{00000000-0005-0000-0000-000049000000}"/>
    <cellStyle name="Currency 2 49" xfId="81" xr:uid="{00000000-0005-0000-0000-00004A000000}"/>
    <cellStyle name="Currency 2 5" xfId="82" xr:uid="{00000000-0005-0000-0000-00004B000000}"/>
    <cellStyle name="Currency 2 50" xfId="83" xr:uid="{00000000-0005-0000-0000-00004C000000}"/>
    <cellStyle name="Currency 2 51" xfId="84" xr:uid="{00000000-0005-0000-0000-00004D000000}"/>
    <cellStyle name="Currency 2 52" xfId="85" xr:uid="{00000000-0005-0000-0000-00004E000000}"/>
    <cellStyle name="Currency 2 53" xfId="86" xr:uid="{00000000-0005-0000-0000-00004F000000}"/>
    <cellStyle name="Currency 2 54" xfId="87" xr:uid="{00000000-0005-0000-0000-000050000000}"/>
    <cellStyle name="Currency 2 55" xfId="88" xr:uid="{00000000-0005-0000-0000-000051000000}"/>
    <cellStyle name="Currency 2 56" xfId="89" xr:uid="{00000000-0005-0000-0000-000052000000}"/>
    <cellStyle name="Currency 2 57" xfId="90" xr:uid="{00000000-0005-0000-0000-000053000000}"/>
    <cellStyle name="Currency 2 58" xfId="91" xr:uid="{00000000-0005-0000-0000-000054000000}"/>
    <cellStyle name="Currency 2 59" xfId="92" xr:uid="{00000000-0005-0000-0000-000055000000}"/>
    <cellStyle name="Currency 2 6" xfId="93" xr:uid="{00000000-0005-0000-0000-000056000000}"/>
    <cellStyle name="Currency 2 60" xfId="94" xr:uid="{00000000-0005-0000-0000-000057000000}"/>
    <cellStyle name="Currency 2 61" xfId="95" xr:uid="{00000000-0005-0000-0000-000058000000}"/>
    <cellStyle name="Currency 2 62" xfId="96" xr:uid="{00000000-0005-0000-0000-000059000000}"/>
    <cellStyle name="Currency 2 63" xfId="97" xr:uid="{00000000-0005-0000-0000-00005A000000}"/>
    <cellStyle name="Currency 2 64" xfId="98" xr:uid="{00000000-0005-0000-0000-00005B000000}"/>
    <cellStyle name="Currency 2 65" xfId="99" xr:uid="{00000000-0005-0000-0000-00005C000000}"/>
    <cellStyle name="Currency 2 66" xfId="100" xr:uid="{00000000-0005-0000-0000-00005D000000}"/>
    <cellStyle name="Currency 2 67" xfId="101" xr:uid="{00000000-0005-0000-0000-00005E000000}"/>
    <cellStyle name="Currency 2 68" xfId="102" xr:uid="{00000000-0005-0000-0000-00005F000000}"/>
    <cellStyle name="Currency 2 69" xfId="103" xr:uid="{00000000-0005-0000-0000-000060000000}"/>
    <cellStyle name="Currency 2 7" xfId="104" xr:uid="{00000000-0005-0000-0000-000061000000}"/>
    <cellStyle name="Currency 2 70" xfId="105" xr:uid="{00000000-0005-0000-0000-000062000000}"/>
    <cellStyle name="Currency 2 71" xfId="106" xr:uid="{00000000-0005-0000-0000-000063000000}"/>
    <cellStyle name="Currency 2 72" xfId="107" xr:uid="{00000000-0005-0000-0000-000064000000}"/>
    <cellStyle name="Currency 2 73" xfId="108" xr:uid="{00000000-0005-0000-0000-000065000000}"/>
    <cellStyle name="Currency 2 74" xfId="109" xr:uid="{00000000-0005-0000-0000-000066000000}"/>
    <cellStyle name="Currency 2 75" xfId="110" xr:uid="{00000000-0005-0000-0000-000067000000}"/>
    <cellStyle name="Currency 2 76" xfId="111" xr:uid="{00000000-0005-0000-0000-000068000000}"/>
    <cellStyle name="Currency 2 77" xfId="112" xr:uid="{00000000-0005-0000-0000-000069000000}"/>
    <cellStyle name="Currency 2 78" xfId="113" xr:uid="{00000000-0005-0000-0000-00006A000000}"/>
    <cellStyle name="Currency 2 79" xfId="114" xr:uid="{00000000-0005-0000-0000-00006B000000}"/>
    <cellStyle name="Currency 2 8" xfId="115" xr:uid="{00000000-0005-0000-0000-00006C000000}"/>
    <cellStyle name="Currency 2 80" xfId="116" xr:uid="{00000000-0005-0000-0000-00006D000000}"/>
    <cellStyle name="Currency 2 81" xfId="117" xr:uid="{00000000-0005-0000-0000-00006E000000}"/>
    <cellStyle name="Currency 2 82" xfId="118" xr:uid="{00000000-0005-0000-0000-00006F000000}"/>
    <cellStyle name="Currency 2 83" xfId="119" xr:uid="{00000000-0005-0000-0000-000070000000}"/>
    <cellStyle name="Currency 2 84" xfId="120" xr:uid="{00000000-0005-0000-0000-000071000000}"/>
    <cellStyle name="Currency 2 85" xfId="121" xr:uid="{00000000-0005-0000-0000-000072000000}"/>
    <cellStyle name="Currency 2 86" xfId="122" xr:uid="{00000000-0005-0000-0000-000073000000}"/>
    <cellStyle name="Currency 2 87" xfId="123" xr:uid="{00000000-0005-0000-0000-000074000000}"/>
    <cellStyle name="Currency 2 88" xfId="124" xr:uid="{00000000-0005-0000-0000-000075000000}"/>
    <cellStyle name="Currency 2 89" xfId="125" xr:uid="{00000000-0005-0000-0000-000076000000}"/>
    <cellStyle name="Currency 2 9" xfId="126" xr:uid="{00000000-0005-0000-0000-000077000000}"/>
    <cellStyle name="Currency 2 90" xfId="127" xr:uid="{00000000-0005-0000-0000-000078000000}"/>
    <cellStyle name="Currency 2 91" xfId="128" xr:uid="{00000000-0005-0000-0000-000079000000}"/>
    <cellStyle name="Currency 2 92" xfId="129" xr:uid="{00000000-0005-0000-0000-00007A000000}"/>
    <cellStyle name="Currency 2 93" xfId="130" xr:uid="{00000000-0005-0000-0000-00007B000000}"/>
    <cellStyle name="Currency 2 94" xfId="131" xr:uid="{00000000-0005-0000-0000-00007C000000}"/>
    <cellStyle name="Currency 2 95" xfId="132" xr:uid="{00000000-0005-0000-0000-00007D000000}"/>
    <cellStyle name="Currency 2 96" xfId="133" xr:uid="{00000000-0005-0000-0000-00007E000000}"/>
    <cellStyle name="Currency 2 97" xfId="134" xr:uid="{00000000-0005-0000-0000-00007F000000}"/>
    <cellStyle name="Currency 2 98" xfId="135" xr:uid="{00000000-0005-0000-0000-000080000000}"/>
    <cellStyle name="Currency 2 99" xfId="136" xr:uid="{00000000-0005-0000-0000-000081000000}"/>
    <cellStyle name="Currency 3" xfId="162" xr:uid="{00000000-0005-0000-0000-000082000000}"/>
    <cellStyle name="Currency 4" xfId="163" xr:uid="{00000000-0005-0000-0000-000083000000}"/>
    <cellStyle name="Currency 4 2" xfId="175" xr:uid="{00000000-0005-0000-0000-000084000000}"/>
    <cellStyle name="Currency 4 2 2" xfId="208" xr:uid="{00000000-0005-0000-0000-000085000000}"/>
    <cellStyle name="Currency 4 2 3" xfId="241" xr:uid="{00000000-0005-0000-0000-000086000000}"/>
    <cellStyle name="Currency 4 3" xfId="196" xr:uid="{00000000-0005-0000-0000-000087000000}"/>
    <cellStyle name="Currency 4 4" xfId="229" xr:uid="{00000000-0005-0000-0000-000088000000}"/>
    <cellStyle name="Excel Built-in Currency" xfId="137" xr:uid="{00000000-0005-0000-0000-000089000000}"/>
    <cellStyle name="Excel Built-in Normal" xfId="3" xr:uid="{00000000-0005-0000-0000-00008A000000}"/>
    <cellStyle name="Excel Built-in Percent" xfId="138" xr:uid="{00000000-0005-0000-0000-00008B000000}"/>
    <cellStyle name="Hyperlink 2" xfId="8" xr:uid="{00000000-0005-0000-0000-00008C000000}"/>
    <cellStyle name="Hyperlink 2 2" xfId="244" xr:uid="{00000000-0005-0000-0000-00008D000000}"/>
    <cellStyle name="Hyperlink 3" xfId="9" xr:uid="{00000000-0005-0000-0000-00008E000000}"/>
    <cellStyle name="Hyperlink 4" xfId="1" xr:uid="{00000000-0005-0000-0000-00008F000000}"/>
    <cellStyle name="Normal" xfId="0" builtinId="0"/>
    <cellStyle name="Normal 2" xfId="4" xr:uid="{00000000-0005-0000-0000-000091000000}"/>
    <cellStyle name="Normal 3" xfId="5" xr:uid="{00000000-0005-0000-0000-000092000000}"/>
    <cellStyle name="Normal 4" xfId="140" xr:uid="{00000000-0005-0000-0000-000093000000}"/>
    <cellStyle name="Normal 4 10" xfId="153" xr:uid="{00000000-0005-0000-0000-000094000000}"/>
    <cellStyle name="Normal 4 10 2" xfId="166" xr:uid="{00000000-0005-0000-0000-000095000000}"/>
    <cellStyle name="Normal 4 10 2 2" xfId="199" xr:uid="{00000000-0005-0000-0000-000096000000}"/>
    <cellStyle name="Normal 4 10 2 3" xfId="232" xr:uid="{00000000-0005-0000-0000-000097000000}"/>
    <cellStyle name="Normal 4 10 3" xfId="187" xr:uid="{00000000-0005-0000-0000-000098000000}"/>
    <cellStyle name="Normal 4 10 4" xfId="220" xr:uid="{00000000-0005-0000-0000-000099000000}"/>
    <cellStyle name="Normal 4 11" xfId="149" xr:uid="{00000000-0005-0000-0000-00009A000000}"/>
    <cellStyle name="Normal 4 11 2" xfId="185" xr:uid="{00000000-0005-0000-0000-00009B000000}"/>
    <cellStyle name="Normal 4 11 3" xfId="218" xr:uid="{00000000-0005-0000-0000-00009C000000}"/>
    <cellStyle name="Normal 4 12" xfId="164" xr:uid="{00000000-0005-0000-0000-00009D000000}"/>
    <cellStyle name="Normal 4 12 2" xfId="197" xr:uid="{00000000-0005-0000-0000-00009E000000}"/>
    <cellStyle name="Normal 4 12 3" xfId="230" xr:uid="{00000000-0005-0000-0000-00009F000000}"/>
    <cellStyle name="Normal 4 13" xfId="176" xr:uid="{00000000-0005-0000-0000-0000A0000000}"/>
    <cellStyle name="Normal 4 14" xfId="209" xr:uid="{00000000-0005-0000-0000-0000A1000000}"/>
    <cellStyle name="Normal 4 2" xfId="141" xr:uid="{00000000-0005-0000-0000-0000A2000000}"/>
    <cellStyle name="Normal 4 2 2" xfId="154" xr:uid="{00000000-0005-0000-0000-0000A3000000}"/>
    <cellStyle name="Normal 4 2 2 2" xfId="188" xr:uid="{00000000-0005-0000-0000-0000A4000000}"/>
    <cellStyle name="Normal 4 2 2 3" xfId="221" xr:uid="{00000000-0005-0000-0000-0000A5000000}"/>
    <cellStyle name="Normal 4 2 3" xfId="167" xr:uid="{00000000-0005-0000-0000-0000A6000000}"/>
    <cellStyle name="Normal 4 2 3 2" xfId="200" xr:uid="{00000000-0005-0000-0000-0000A7000000}"/>
    <cellStyle name="Normal 4 2 3 3" xfId="233" xr:uid="{00000000-0005-0000-0000-0000A8000000}"/>
    <cellStyle name="Normal 4 2 4" xfId="177" xr:uid="{00000000-0005-0000-0000-0000A9000000}"/>
    <cellStyle name="Normal 4 2 5" xfId="210" xr:uid="{00000000-0005-0000-0000-0000AA000000}"/>
    <cellStyle name="Normal 4 3" xfId="142" xr:uid="{00000000-0005-0000-0000-0000AB000000}"/>
    <cellStyle name="Normal 4 3 2" xfId="155" xr:uid="{00000000-0005-0000-0000-0000AC000000}"/>
    <cellStyle name="Normal 4 3 2 2" xfId="189" xr:uid="{00000000-0005-0000-0000-0000AD000000}"/>
    <cellStyle name="Normal 4 3 2 3" xfId="222" xr:uid="{00000000-0005-0000-0000-0000AE000000}"/>
    <cellStyle name="Normal 4 3 3" xfId="168" xr:uid="{00000000-0005-0000-0000-0000AF000000}"/>
    <cellStyle name="Normal 4 3 3 2" xfId="201" xr:uid="{00000000-0005-0000-0000-0000B0000000}"/>
    <cellStyle name="Normal 4 3 3 3" xfId="234" xr:uid="{00000000-0005-0000-0000-0000B1000000}"/>
    <cellStyle name="Normal 4 3 4" xfId="178" xr:uid="{00000000-0005-0000-0000-0000B2000000}"/>
    <cellStyle name="Normal 4 3 5" xfId="211" xr:uid="{00000000-0005-0000-0000-0000B3000000}"/>
    <cellStyle name="Normal 4 4" xfId="143" xr:uid="{00000000-0005-0000-0000-0000B4000000}"/>
    <cellStyle name="Normal 4 4 2" xfId="156" xr:uid="{00000000-0005-0000-0000-0000B5000000}"/>
    <cellStyle name="Normal 4 4 2 2" xfId="190" xr:uid="{00000000-0005-0000-0000-0000B6000000}"/>
    <cellStyle name="Normal 4 4 2 3" xfId="223" xr:uid="{00000000-0005-0000-0000-0000B7000000}"/>
    <cellStyle name="Normal 4 4 3" xfId="169" xr:uid="{00000000-0005-0000-0000-0000B8000000}"/>
    <cellStyle name="Normal 4 4 3 2" xfId="202" xr:uid="{00000000-0005-0000-0000-0000B9000000}"/>
    <cellStyle name="Normal 4 4 3 3" xfId="235" xr:uid="{00000000-0005-0000-0000-0000BA000000}"/>
    <cellStyle name="Normal 4 4 4" xfId="179" xr:uid="{00000000-0005-0000-0000-0000BB000000}"/>
    <cellStyle name="Normal 4 4 5" xfId="212" xr:uid="{00000000-0005-0000-0000-0000BC000000}"/>
    <cellStyle name="Normal 4 5" xfId="144" xr:uid="{00000000-0005-0000-0000-0000BD000000}"/>
    <cellStyle name="Normal 4 5 2" xfId="157" xr:uid="{00000000-0005-0000-0000-0000BE000000}"/>
    <cellStyle name="Normal 4 5 2 2" xfId="191" xr:uid="{00000000-0005-0000-0000-0000BF000000}"/>
    <cellStyle name="Normal 4 5 2 3" xfId="224" xr:uid="{00000000-0005-0000-0000-0000C0000000}"/>
    <cellStyle name="Normal 4 5 3" xfId="170" xr:uid="{00000000-0005-0000-0000-0000C1000000}"/>
    <cellStyle name="Normal 4 5 3 2" xfId="203" xr:uid="{00000000-0005-0000-0000-0000C2000000}"/>
    <cellStyle name="Normal 4 5 3 3" xfId="236" xr:uid="{00000000-0005-0000-0000-0000C3000000}"/>
    <cellStyle name="Normal 4 5 4" xfId="180" xr:uid="{00000000-0005-0000-0000-0000C4000000}"/>
    <cellStyle name="Normal 4 5 5" xfId="213" xr:uid="{00000000-0005-0000-0000-0000C5000000}"/>
    <cellStyle name="Normal 4 6" xfId="145" xr:uid="{00000000-0005-0000-0000-0000C6000000}"/>
    <cellStyle name="Normal 4 6 2" xfId="158" xr:uid="{00000000-0005-0000-0000-0000C7000000}"/>
    <cellStyle name="Normal 4 6 2 2" xfId="192" xr:uid="{00000000-0005-0000-0000-0000C8000000}"/>
    <cellStyle name="Normal 4 6 2 3" xfId="225" xr:uid="{00000000-0005-0000-0000-0000C9000000}"/>
    <cellStyle name="Normal 4 6 3" xfId="171" xr:uid="{00000000-0005-0000-0000-0000CA000000}"/>
    <cellStyle name="Normal 4 6 3 2" xfId="204" xr:uid="{00000000-0005-0000-0000-0000CB000000}"/>
    <cellStyle name="Normal 4 6 3 3" xfId="237" xr:uid="{00000000-0005-0000-0000-0000CC000000}"/>
    <cellStyle name="Normal 4 6 4" xfId="181" xr:uid="{00000000-0005-0000-0000-0000CD000000}"/>
    <cellStyle name="Normal 4 6 5" xfId="214" xr:uid="{00000000-0005-0000-0000-0000CE000000}"/>
    <cellStyle name="Normal 4 7" xfId="146" xr:uid="{00000000-0005-0000-0000-0000CF000000}"/>
    <cellStyle name="Normal 4 7 2" xfId="159" xr:uid="{00000000-0005-0000-0000-0000D0000000}"/>
    <cellStyle name="Normal 4 7 2 2" xfId="193" xr:uid="{00000000-0005-0000-0000-0000D1000000}"/>
    <cellStyle name="Normal 4 7 2 3" xfId="226" xr:uid="{00000000-0005-0000-0000-0000D2000000}"/>
    <cellStyle name="Normal 4 7 3" xfId="172" xr:uid="{00000000-0005-0000-0000-0000D3000000}"/>
    <cellStyle name="Normal 4 7 3 2" xfId="205" xr:uid="{00000000-0005-0000-0000-0000D4000000}"/>
    <cellStyle name="Normal 4 7 3 3" xfId="238" xr:uid="{00000000-0005-0000-0000-0000D5000000}"/>
    <cellStyle name="Normal 4 7 4" xfId="182" xr:uid="{00000000-0005-0000-0000-0000D6000000}"/>
    <cellStyle name="Normal 4 7 5" xfId="215" xr:uid="{00000000-0005-0000-0000-0000D7000000}"/>
    <cellStyle name="Normal 4 8" xfId="147" xr:uid="{00000000-0005-0000-0000-0000D8000000}"/>
    <cellStyle name="Normal 4 8 2" xfId="160" xr:uid="{00000000-0005-0000-0000-0000D9000000}"/>
    <cellStyle name="Normal 4 8 2 2" xfId="194" xr:uid="{00000000-0005-0000-0000-0000DA000000}"/>
    <cellStyle name="Normal 4 8 2 3" xfId="227" xr:uid="{00000000-0005-0000-0000-0000DB000000}"/>
    <cellStyle name="Normal 4 8 3" xfId="173" xr:uid="{00000000-0005-0000-0000-0000DC000000}"/>
    <cellStyle name="Normal 4 8 3 2" xfId="206" xr:uid="{00000000-0005-0000-0000-0000DD000000}"/>
    <cellStyle name="Normal 4 8 3 3" xfId="239" xr:uid="{00000000-0005-0000-0000-0000DE000000}"/>
    <cellStyle name="Normal 4 8 4" xfId="183" xr:uid="{00000000-0005-0000-0000-0000DF000000}"/>
    <cellStyle name="Normal 4 8 5" xfId="216" xr:uid="{00000000-0005-0000-0000-0000E0000000}"/>
    <cellStyle name="Normal 4 9" xfId="148" xr:uid="{00000000-0005-0000-0000-0000E1000000}"/>
    <cellStyle name="Normal 4 9 2" xfId="161" xr:uid="{00000000-0005-0000-0000-0000E2000000}"/>
    <cellStyle name="Normal 4 9 2 2" xfId="195" xr:uid="{00000000-0005-0000-0000-0000E3000000}"/>
    <cellStyle name="Normal 4 9 2 3" xfId="228" xr:uid="{00000000-0005-0000-0000-0000E4000000}"/>
    <cellStyle name="Normal 4 9 3" xfId="174" xr:uid="{00000000-0005-0000-0000-0000E5000000}"/>
    <cellStyle name="Normal 4 9 3 2" xfId="207" xr:uid="{00000000-0005-0000-0000-0000E6000000}"/>
    <cellStyle name="Normal 4 9 3 3" xfId="240" xr:uid="{00000000-0005-0000-0000-0000E7000000}"/>
    <cellStyle name="Normal 4 9 4" xfId="184" xr:uid="{00000000-0005-0000-0000-0000E8000000}"/>
    <cellStyle name="Normal 4 9 5" xfId="217" xr:uid="{00000000-0005-0000-0000-0000E9000000}"/>
    <cellStyle name="Normal 5" xfId="151" xr:uid="{00000000-0005-0000-0000-0000EA000000}"/>
    <cellStyle name="Normal 6" xfId="150" xr:uid="{00000000-0005-0000-0000-0000EB000000}"/>
    <cellStyle name="Normal 6 2" xfId="165" xr:uid="{00000000-0005-0000-0000-0000EC000000}"/>
    <cellStyle name="Normal 6 2 2" xfId="198" xr:uid="{00000000-0005-0000-0000-0000ED000000}"/>
    <cellStyle name="Normal 6 2 3" xfId="231" xr:uid="{00000000-0005-0000-0000-0000EE000000}"/>
    <cellStyle name="Normal 6 3" xfId="186" xr:uid="{00000000-0005-0000-0000-0000EF000000}"/>
    <cellStyle name="Normal 6 4" xfId="219" xr:uid="{00000000-0005-0000-0000-0000F0000000}"/>
    <cellStyle name="Normal 7" xfId="2" xr:uid="{00000000-0005-0000-0000-0000F1000000}"/>
    <cellStyle name="Normal 7 2" xfId="242" xr:uid="{00000000-0005-0000-0000-0000F2000000}"/>
    <cellStyle name="Normal_Sheet1" xfId="245" xr:uid="{00000000-0005-0000-0000-0000F3000000}"/>
    <cellStyle name="Percent 2" xfId="152" xr:uid="{00000000-0005-0000-0000-0000F4000000}"/>
    <cellStyle name="Percent 3" xfId="139" xr:uid="{00000000-0005-0000-0000-0000F5000000}"/>
    <cellStyle name="Percent 3 2" xfId="243" xr:uid="{00000000-0005-0000-0000-0000F6000000}"/>
  </cellStyles>
  <dxfs count="6">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499984740745262"/>
        </patternFill>
      </fill>
    </dxf>
    <dxf>
      <fill>
        <patternFill>
          <bgColor theme="0" tint="-0.34998626667073579"/>
        </patternFill>
      </fill>
    </dxf>
    <dxf>
      <fill>
        <patternFill>
          <bgColor theme="0" tint="-0.24994659260841701"/>
        </patternFill>
      </fill>
    </dxf>
  </dxfs>
  <tableStyles count="0" defaultTableStyle="TableStyleMedium2" defaultPivotStyle="PivotStyleLight16"/>
  <colors>
    <mruColors>
      <color rgb="FFFFFF99"/>
      <color rgb="FFA7D6E3"/>
      <color rgb="FFAE3F3C"/>
      <color rgb="FFFFFF5B"/>
      <color rgb="FF432003"/>
      <color rgb="FFA3975D"/>
      <color rgb="FFFF99CC"/>
      <color rgb="FFD4CFB4"/>
      <color rgb="FFCAC3A2"/>
      <color rgb="FFDCD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151"/>
  <sheetViews>
    <sheetView tabSelected="1" workbookViewId="0">
      <pane ySplit="1" topLeftCell="A2" activePane="bottomLeft" state="frozen"/>
      <selection pane="bottomLeft" activeCell="AA19" sqref="AA19:AL19"/>
    </sheetView>
  </sheetViews>
  <sheetFormatPr defaultRowHeight="15" x14ac:dyDescent="0.25"/>
  <cols>
    <col min="1" max="1" width="6.85546875" customWidth="1"/>
    <col min="2" max="2" width="7.42578125" customWidth="1"/>
    <col min="3" max="3" width="8.140625" customWidth="1"/>
    <col min="4" max="38" width="4.7109375" customWidth="1"/>
  </cols>
  <sheetData>
    <row r="1" spans="1:38" ht="18.75" x14ac:dyDescent="0.25">
      <c r="A1" s="405" t="str">
        <f>'BASE GRANTEE SET UP &amp; INFO'!A1</f>
        <v>WV Bureau for Behavioral Health and Health Facilities - Traumatic Brain Injury (TBI) Program V20210501</v>
      </c>
      <c r="B1" s="406"/>
      <c r="C1" s="406"/>
      <c r="D1" s="406"/>
      <c r="E1" s="406"/>
      <c r="F1" s="406"/>
      <c r="G1" s="406"/>
      <c r="H1" s="406"/>
      <c r="I1" s="406"/>
      <c r="J1" s="406"/>
      <c r="K1" s="406"/>
      <c r="L1" s="406"/>
      <c r="M1" s="406"/>
      <c r="N1" s="406"/>
      <c r="O1" s="406"/>
      <c r="P1" s="406"/>
      <c r="Q1" s="406"/>
      <c r="R1" s="406"/>
      <c r="S1" s="406"/>
      <c r="T1" s="406"/>
      <c r="U1" s="406"/>
      <c r="V1" s="406"/>
      <c r="W1" s="406"/>
      <c r="X1" s="406"/>
      <c r="Y1" s="406"/>
      <c r="Z1" s="406"/>
      <c r="AA1" s="406"/>
      <c r="AB1" s="406"/>
      <c r="AC1" s="406"/>
      <c r="AD1" s="406"/>
      <c r="AE1" s="406"/>
      <c r="AF1" s="406"/>
      <c r="AG1" s="406"/>
      <c r="AH1" s="406"/>
      <c r="AI1" s="406"/>
      <c r="AJ1" s="406"/>
      <c r="AK1" s="406"/>
      <c r="AL1" s="407"/>
    </row>
    <row r="2" spans="1:38" ht="20.100000000000001" customHeight="1" x14ac:dyDescent="0.25">
      <c r="A2" s="486" t="str">
        <f>'BASE GRANTEE SET UP &amp; INFO'!A3</f>
        <v xml:space="preserve">Program reports need to be submitted electronically, via e-mail to DHHRBBHReporting@wv.gov within 25 calendar days of the end of each month </v>
      </c>
      <c r="B2" s="487"/>
      <c r="C2" s="487"/>
      <c r="D2" s="487"/>
      <c r="E2" s="487"/>
      <c r="F2" s="487"/>
      <c r="G2" s="487"/>
      <c r="H2" s="487"/>
      <c r="I2" s="487"/>
      <c r="J2" s="487"/>
      <c r="K2" s="487"/>
      <c r="L2" s="487"/>
      <c r="M2" s="487"/>
      <c r="N2" s="487"/>
      <c r="O2" s="487"/>
      <c r="P2" s="487"/>
      <c r="Q2" s="487"/>
      <c r="R2" s="487"/>
      <c r="S2" s="487"/>
      <c r="T2" s="487"/>
      <c r="U2" s="487"/>
      <c r="V2" s="487"/>
      <c r="W2" s="487"/>
      <c r="X2" s="487"/>
      <c r="Y2" s="487"/>
      <c r="Z2" s="487"/>
      <c r="AA2" s="487"/>
      <c r="AB2" s="487"/>
      <c r="AC2" s="487"/>
      <c r="AD2" s="487"/>
      <c r="AE2" s="487"/>
      <c r="AF2" s="487"/>
      <c r="AG2" s="487"/>
      <c r="AH2" s="487"/>
      <c r="AI2" s="487"/>
      <c r="AJ2" s="487"/>
      <c r="AK2" s="487"/>
      <c r="AL2" s="488"/>
    </row>
    <row r="3" spans="1:38" ht="45" customHeight="1" x14ac:dyDescent="0.25">
      <c r="A3" s="413" t="s">
        <v>0</v>
      </c>
      <c r="B3" s="413"/>
      <c r="C3" s="413"/>
      <c r="D3" s="413"/>
      <c r="E3" s="413"/>
      <c r="F3" s="413"/>
      <c r="G3" s="413"/>
      <c r="H3" s="413"/>
      <c r="I3" s="413"/>
      <c r="J3" s="413"/>
      <c r="K3" s="413"/>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row>
    <row r="4" spans="1:38" ht="32.1" customHeight="1" thickBot="1" x14ac:dyDescent="0.3">
      <c r="A4" s="414" t="s">
        <v>1</v>
      </c>
      <c r="B4" s="415"/>
      <c r="C4" s="415"/>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row>
    <row r="5" spans="1:38" ht="15.75" thickTop="1" x14ac:dyDescent="0.25">
      <c r="A5" s="436" t="s">
        <v>2</v>
      </c>
      <c r="B5" s="422"/>
      <c r="C5" s="422"/>
      <c r="D5" s="423"/>
      <c r="E5" s="437" t="s">
        <v>3</v>
      </c>
      <c r="F5" s="437"/>
      <c r="G5" s="437"/>
      <c r="H5" s="437"/>
      <c r="I5" s="438" t="s">
        <v>4</v>
      </c>
      <c r="J5" s="439"/>
      <c r="K5" s="439"/>
      <c r="L5" s="440"/>
      <c r="M5" s="438" t="s">
        <v>5</v>
      </c>
      <c r="N5" s="439"/>
      <c r="O5" s="439"/>
      <c r="P5" s="439"/>
      <c r="Q5" s="440"/>
      <c r="R5" s="421" t="s">
        <v>6</v>
      </c>
      <c r="S5" s="422"/>
      <c r="T5" s="422"/>
      <c r="U5" s="423"/>
      <c r="V5" s="421" t="s">
        <v>7</v>
      </c>
      <c r="W5" s="422"/>
      <c r="X5" s="422"/>
      <c r="Y5" s="423"/>
      <c r="Z5" s="424" t="s">
        <v>8</v>
      </c>
      <c r="AA5" s="424"/>
      <c r="AB5" s="424"/>
      <c r="AC5" s="424"/>
      <c r="AD5" s="424" t="s">
        <v>9</v>
      </c>
      <c r="AE5" s="424"/>
      <c r="AF5" s="425"/>
    </row>
    <row r="6" spans="1:38" ht="15.75" customHeight="1" x14ac:dyDescent="0.25">
      <c r="A6" s="426" t="s">
        <v>10</v>
      </c>
      <c r="B6" s="427"/>
      <c r="C6" s="427"/>
      <c r="D6" s="428"/>
      <c r="E6" s="429" t="s">
        <v>11</v>
      </c>
      <c r="F6" s="429"/>
      <c r="G6" s="429"/>
      <c r="H6" s="429"/>
      <c r="I6" s="430" t="s">
        <v>12</v>
      </c>
      <c r="J6" s="431"/>
      <c r="K6" s="431"/>
      <c r="L6" s="432"/>
      <c r="M6" s="430" t="s">
        <v>13</v>
      </c>
      <c r="N6" s="431"/>
      <c r="O6" s="431"/>
      <c r="P6" s="431"/>
      <c r="Q6" s="432"/>
      <c r="R6" s="433" t="s">
        <v>14</v>
      </c>
      <c r="S6" s="427"/>
      <c r="T6" s="427"/>
      <c r="U6" s="428"/>
      <c r="V6" s="433" t="s">
        <v>15</v>
      </c>
      <c r="W6" s="427"/>
      <c r="X6" s="427"/>
      <c r="Y6" s="428"/>
      <c r="Z6" s="434" t="s">
        <v>16</v>
      </c>
      <c r="AA6" s="434"/>
      <c r="AB6" s="434"/>
      <c r="AC6" s="434"/>
      <c r="AD6" s="434" t="s">
        <v>17</v>
      </c>
      <c r="AE6" s="434"/>
      <c r="AF6" s="435"/>
    </row>
    <row r="7" spans="1:38" ht="15.75" customHeight="1" thickBot="1" x14ac:dyDescent="0.3">
      <c r="A7" s="454" t="s">
        <v>18</v>
      </c>
      <c r="B7" s="417"/>
      <c r="C7" s="417"/>
      <c r="D7" s="418"/>
      <c r="E7" s="455" t="s">
        <v>19</v>
      </c>
      <c r="F7" s="455"/>
      <c r="G7" s="455"/>
      <c r="H7" s="455"/>
      <c r="I7" s="456" t="s">
        <v>20</v>
      </c>
      <c r="J7" s="457"/>
      <c r="K7" s="457"/>
      <c r="L7" s="458"/>
      <c r="M7" s="456" t="s">
        <v>21</v>
      </c>
      <c r="N7" s="457"/>
      <c r="O7" s="457"/>
      <c r="P7" s="457"/>
      <c r="Q7" s="458"/>
      <c r="R7" s="416" t="s">
        <v>22</v>
      </c>
      <c r="S7" s="417"/>
      <c r="T7" s="417"/>
      <c r="U7" s="418"/>
      <c r="V7" s="416" t="s">
        <v>23</v>
      </c>
      <c r="W7" s="417"/>
      <c r="X7" s="417"/>
      <c r="Y7" s="418"/>
      <c r="Z7" s="419" t="s">
        <v>24</v>
      </c>
      <c r="AA7" s="419"/>
      <c r="AB7" s="419"/>
      <c r="AC7" s="419"/>
      <c r="AD7" s="419" t="s">
        <v>25</v>
      </c>
      <c r="AE7" s="419"/>
      <c r="AF7" s="420"/>
    </row>
    <row r="8" spans="1:38" ht="18" customHeight="1" thickTop="1" x14ac:dyDescent="0.25">
      <c r="A8" s="452" t="s">
        <v>26</v>
      </c>
      <c r="B8" s="452"/>
      <c r="C8" s="452"/>
      <c r="D8" s="452"/>
      <c r="E8" s="452"/>
      <c r="F8" s="452"/>
      <c r="G8" s="452"/>
      <c r="H8" s="452"/>
      <c r="I8" s="452"/>
      <c r="J8" s="452"/>
      <c r="K8" s="452"/>
      <c r="L8" s="452"/>
      <c r="M8" s="452"/>
      <c r="N8" s="452"/>
      <c r="O8" s="452"/>
      <c r="P8" s="452"/>
      <c r="Q8" s="452"/>
      <c r="R8" s="452"/>
      <c r="S8" s="452"/>
      <c r="T8" s="452"/>
      <c r="U8" s="452"/>
      <c r="V8" s="452"/>
      <c r="W8" s="452"/>
      <c r="X8" s="452"/>
      <c r="Y8" s="452"/>
      <c r="Z8" s="452"/>
      <c r="AA8" s="452"/>
      <c r="AB8" s="452"/>
      <c r="AC8" s="452"/>
      <c r="AD8" s="452"/>
      <c r="AE8" s="452"/>
      <c r="AF8" s="452"/>
      <c r="AG8" s="452"/>
      <c r="AH8" s="452"/>
      <c r="AI8" s="452"/>
      <c r="AJ8" s="452"/>
      <c r="AK8" s="452"/>
      <c r="AL8" s="452"/>
    </row>
    <row r="9" spans="1:38" ht="15" customHeight="1" x14ac:dyDescent="0.25">
      <c r="A9" s="452"/>
      <c r="B9" s="452"/>
      <c r="C9" s="452"/>
      <c r="D9" s="452"/>
      <c r="E9" s="452"/>
      <c r="F9" s="452"/>
      <c r="G9" s="452"/>
      <c r="H9" s="452"/>
      <c r="I9" s="452"/>
      <c r="J9" s="452"/>
      <c r="K9" s="452"/>
      <c r="L9" s="452"/>
      <c r="M9" s="452"/>
      <c r="N9" s="452"/>
      <c r="O9" s="452"/>
      <c r="P9" s="452"/>
      <c r="Q9" s="452"/>
      <c r="R9" s="452"/>
      <c r="S9" s="452"/>
      <c r="T9" s="452"/>
      <c r="U9" s="452"/>
      <c r="V9" s="452"/>
      <c r="W9" s="452"/>
      <c r="X9" s="452"/>
      <c r="Y9" s="452"/>
      <c r="Z9" s="452"/>
      <c r="AA9" s="452"/>
      <c r="AB9" s="452"/>
      <c r="AC9" s="452"/>
      <c r="AD9" s="452"/>
      <c r="AE9" s="452"/>
      <c r="AF9" s="452"/>
      <c r="AG9" s="452"/>
      <c r="AH9" s="452"/>
      <c r="AI9" s="452"/>
      <c r="AJ9" s="452"/>
      <c r="AK9" s="452"/>
      <c r="AL9" s="452"/>
    </row>
    <row r="10" spans="1:38" ht="15.75" customHeight="1" x14ac:dyDescent="0.25">
      <c r="A10" s="452"/>
      <c r="B10" s="452"/>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row>
    <row r="11" spans="1:38" x14ac:dyDescent="0.25">
      <c r="A11" s="453" t="s">
        <v>27</v>
      </c>
      <c r="B11" s="453"/>
      <c r="C11" s="453"/>
      <c r="D11" s="453"/>
      <c r="E11" s="453"/>
      <c r="F11" s="453"/>
      <c r="G11" s="453"/>
      <c r="H11" s="453"/>
      <c r="I11" s="453"/>
      <c r="J11" s="453"/>
      <c r="K11" s="453"/>
      <c r="L11" s="453"/>
      <c r="M11" s="453"/>
      <c r="N11" s="453"/>
      <c r="O11" s="453"/>
      <c r="P11" s="453"/>
      <c r="Q11" s="453"/>
      <c r="R11" s="453"/>
      <c r="S11" s="453"/>
      <c r="T11" s="453"/>
      <c r="U11" s="453"/>
      <c r="V11" s="453"/>
      <c r="W11" s="453"/>
      <c r="X11" s="453"/>
      <c r="Y11" s="453"/>
      <c r="Z11" s="453"/>
      <c r="AA11" s="453"/>
      <c r="AB11" s="453"/>
      <c r="AC11" s="453"/>
      <c r="AD11" s="453"/>
      <c r="AE11" s="453"/>
      <c r="AF11" s="453"/>
      <c r="AG11" s="453"/>
      <c r="AH11" s="453"/>
      <c r="AI11" s="453"/>
      <c r="AJ11" s="453"/>
      <c r="AK11" s="453"/>
      <c r="AL11" s="453"/>
    </row>
    <row r="12" spans="1:38" x14ac:dyDescent="0.25">
      <c r="A12" s="453"/>
      <c r="B12" s="453"/>
      <c r="C12" s="453"/>
      <c r="D12" s="453"/>
      <c r="E12" s="453"/>
      <c r="F12" s="453"/>
      <c r="G12" s="453"/>
      <c r="H12" s="453"/>
      <c r="I12" s="453"/>
      <c r="J12" s="453"/>
      <c r="K12" s="453"/>
      <c r="L12" s="453"/>
      <c r="M12" s="453"/>
      <c r="N12" s="453"/>
      <c r="O12" s="453"/>
      <c r="P12" s="453"/>
      <c r="Q12" s="453"/>
      <c r="R12" s="453"/>
      <c r="S12" s="453"/>
      <c r="T12" s="453"/>
      <c r="U12" s="453"/>
      <c r="V12" s="453"/>
      <c r="W12" s="453"/>
      <c r="X12" s="453"/>
      <c r="Y12" s="453"/>
      <c r="Z12" s="453"/>
      <c r="AA12" s="453"/>
      <c r="AB12" s="453"/>
      <c r="AC12" s="453"/>
      <c r="AD12" s="453"/>
      <c r="AE12" s="453"/>
      <c r="AF12" s="453"/>
      <c r="AG12" s="453"/>
      <c r="AH12" s="453"/>
      <c r="AI12" s="453"/>
      <c r="AJ12" s="453"/>
      <c r="AK12" s="453"/>
      <c r="AL12" s="453"/>
    </row>
    <row r="13" spans="1:38" x14ac:dyDescent="0.25">
      <c r="A13" s="453"/>
      <c r="B13" s="453"/>
      <c r="C13" s="453"/>
      <c r="D13" s="453"/>
      <c r="E13" s="453"/>
      <c r="F13" s="453"/>
      <c r="G13" s="453"/>
      <c r="H13" s="453"/>
      <c r="I13" s="453"/>
      <c r="J13" s="453"/>
      <c r="K13" s="453"/>
      <c r="L13" s="453"/>
      <c r="M13" s="453"/>
      <c r="N13" s="453"/>
      <c r="O13" s="453"/>
      <c r="P13" s="453"/>
      <c r="Q13" s="453"/>
      <c r="R13" s="453"/>
      <c r="S13" s="453"/>
      <c r="T13" s="453"/>
      <c r="U13" s="453"/>
      <c r="V13" s="453"/>
      <c r="W13" s="453"/>
      <c r="X13" s="453"/>
      <c r="Y13" s="453"/>
      <c r="Z13" s="453"/>
      <c r="AA13" s="453"/>
      <c r="AB13" s="453"/>
      <c r="AC13" s="453"/>
      <c r="AD13" s="453"/>
      <c r="AE13" s="453"/>
      <c r="AF13" s="453"/>
      <c r="AG13" s="453"/>
      <c r="AH13" s="453"/>
      <c r="AI13" s="453"/>
      <c r="AJ13" s="453"/>
      <c r="AK13" s="453"/>
      <c r="AL13" s="453"/>
    </row>
    <row r="14" spans="1:38" ht="15.75" thickBot="1" x14ac:dyDescent="0.3">
      <c r="A14" s="28" t="s">
        <v>28</v>
      </c>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32.1" customHeight="1" thickTop="1" x14ac:dyDescent="0.25">
      <c r="A15" s="29">
        <v>3</v>
      </c>
      <c r="B15" s="442" t="s">
        <v>29</v>
      </c>
      <c r="C15" s="443"/>
      <c r="D15" s="443"/>
      <c r="E15" s="443"/>
      <c r="F15" s="443"/>
      <c r="G15" s="443"/>
      <c r="H15" s="443"/>
      <c r="I15" s="443"/>
      <c r="J15" s="443"/>
      <c r="K15" s="443"/>
      <c r="L15" s="443"/>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443"/>
      <c r="AL15" s="444"/>
    </row>
    <row r="16" spans="1:38" x14ac:dyDescent="0.25">
      <c r="A16" s="29">
        <v>4</v>
      </c>
      <c r="B16" s="445" t="s">
        <v>30</v>
      </c>
      <c r="C16" s="445"/>
      <c r="D16" s="445"/>
      <c r="E16" s="445"/>
      <c r="F16" s="445"/>
      <c r="G16" s="445"/>
      <c r="H16" s="445"/>
      <c r="I16" s="446" t="str">
        <f>'BASE GRANTEE SET UP &amp; INFO'!G5</f>
        <v xml:space="preserve">Traumatic Brain Injury (TBI) Program </v>
      </c>
      <c r="J16" s="446"/>
      <c r="K16" s="446"/>
      <c r="L16" s="446"/>
      <c r="M16" s="446"/>
      <c r="N16" s="446"/>
      <c r="O16" s="446"/>
      <c r="P16" s="446"/>
      <c r="Q16" s="446"/>
      <c r="R16" s="446"/>
      <c r="S16" s="446"/>
      <c r="T16" s="446"/>
      <c r="U16" s="30"/>
      <c r="V16" s="447" t="s">
        <v>31</v>
      </c>
      <c r="W16" s="447"/>
      <c r="X16" s="447"/>
      <c r="Y16" s="447"/>
      <c r="Z16" s="447"/>
      <c r="AA16" s="446" t="str">
        <f>'BASE GRANTEE SET UP &amp; INFO'!Y5</f>
        <v xml:space="preserve">WV University Research Corporation - WVU Center of Excellence in Disabilities </v>
      </c>
      <c r="AB16" s="446"/>
      <c r="AC16" s="446"/>
      <c r="AD16" s="446"/>
      <c r="AE16" s="446"/>
      <c r="AF16" s="446"/>
      <c r="AG16" s="446"/>
      <c r="AH16" s="446"/>
      <c r="AI16" s="446"/>
      <c r="AJ16" s="446"/>
      <c r="AK16" s="446"/>
      <c r="AL16" s="446"/>
    </row>
    <row r="17" spans="1:38" x14ac:dyDescent="0.25">
      <c r="A17" s="29">
        <v>5</v>
      </c>
      <c r="B17" s="464" t="s">
        <v>32</v>
      </c>
      <c r="C17" s="464"/>
      <c r="D17" s="464"/>
      <c r="E17" s="464"/>
      <c r="F17" s="464"/>
      <c r="G17" s="464"/>
      <c r="H17" s="464"/>
      <c r="I17" s="465" t="str">
        <f>'BASE GRANTEE SET UP &amp; INFO'!G6</f>
        <v xml:space="preserve">TBI Program </v>
      </c>
      <c r="J17" s="465"/>
      <c r="K17" s="465"/>
      <c r="L17" s="465"/>
      <c r="M17" s="465"/>
      <c r="N17" s="465"/>
      <c r="O17" s="465"/>
      <c r="P17" s="465"/>
      <c r="Q17" s="465"/>
      <c r="R17" s="465"/>
      <c r="S17" s="465"/>
      <c r="T17" s="465"/>
      <c r="U17" s="23"/>
      <c r="V17" s="466" t="s">
        <v>33</v>
      </c>
      <c r="W17" s="466"/>
      <c r="X17" s="466"/>
      <c r="Y17" s="466"/>
      <c r="Z17" s="466"/>
      <c r="AA17" s="446">
        <f>'BASE GRANTEE SET UP &amp; INFO'!Y6</f>
        <v>0</v>
      </c>
      <c r="AB17" s="446"/>
      <c r="AC17" s="446"/>
      <c r="AD17" s="446"/>
      <c r="AE17" s="446"/>
      <c r="AF17" s="446"/>
      <c r="AG17" s="446"/>
      <c r="AH17" s="446"/>
      <c r="AI17" s="446"/>
      <c r="AJ17" s="446"/>
      <c r="AK17" s="446"/>
      <c r="AL17" s="446"/>
    </row>
    <row r="18" spans="1:38" x14ac:dyDescent="0.25">
      <c r="A18" s="29">
        <v>6</v>
      </c>
      <c r="B18" s="459" t="s">
        <v>34</v>
      </c>
      <c r="C18" s="459"/>
      <c r="D18" s="459"/>
      <c r="E18" s="459"/>
      <c r="F18" s="459"/>
      <c r="G18" s="459"/>
      <c r="H18" s="459"/>
      <c r="I18" s="467" t="str">
        <f>'BASE GRANTEE SET UP &amp; INFO'!G7</f>
        <v>959 Hartman Run Road, Morgantown, WV 26506</v>
      </c>
      <c r="J18" s="467"/>
      <c r="K18" s="467"/>
      <c r="L18" s="467"/>
      <c r="M18" s="467"/>
      <c r="N18" s="467"/>
      <c r="O18" s="467"/>
      <c r="P18" s="467"/>
      <c r="Q18" s="467"/>
      <c r="R18" s="467"/>
      <c r="S18" s="467"/>
      <c r="T18" s="467"/>
      <c r="U18" s="23"/>
      <c r="V18" s="468" t="s">
        <v>35</v>
      </c>
      <c r="W18" s="468"/>
      <c r="X18" s="468"/>
      <c r="Y18" s="468"/>
      <c r="Z18" s="468"/>
      <c r="AA18" s="446">
        <f>'BASE GRANTEE SET UP &amp; INFO'!Y7</f>
        <v>0</v>
      </c>
      <c r="AB18" s="446"/>
      <c r="AC18" s="446"/>
      <c r="AD18" s="446"/>
      <c r="AE18" s="446"/>
      <c r="AF18" s="446"/>
      <c r="AG18" s="446"/>
      <c r="AH18" s="446"/>
      <c r="AI18" s="446"/>
      <c r="AJ18" s="446"/>
      <c r="AK18" s="446"/>
      <c r="AL18" s="446"/>
    </row>
    <row r="19" spans="1:38" x14ac:dyDescent="0.25">
      <c r="A19" s="29">
        <v>7</v>
      </c>
      <c r="B19" s="459"/>
      <c r="C19" s="459"/>
      <c r="D19" s="459"/>
      <c r="E19" s="459"/>
      <c r="F19" s="459"/>
      <c r="G19" s="459"/>
      <c r="H19" s="459"/>
      <c r="I19" s="467"/>
      <c r="J19" s="467"/>
      <c r="K19" s="467"/>
      <c r="L19" s="467"/>
      <c r="M19" s="467"/>
      <c r="N19" s="467"/>
      <c r="O19" s="467"/>
      <c r="P19" s="467"/>
      <c r="Q19" s="467"/>
      <c r="R19" s="467"/>
      <c r="S19" s="467"/>
      <c r="T19" s="467"/>
      <c r="U19" s="23"/>
      <c r="V19" s="468" t="s">
        <v>36</v>
      </c>
      <c r="W19" s="468"/>
      <c r="X19" s="468"/>
      <c r="Y19" s="468"/>
      <c r="Z19" s="468"/>
      <c r="AA19" s="446">
        <f>'BASE GRANTEE SET UP &amp; INFO'!Y8</f>
        <v>0</v>
      </c>
      <c r="AB19" s="446"/>
      <c r="AC19" s="446"/>
      <c r="AD19" s="446"/>
      <c r="AE19" s="446"/>
      <c r="AF19" s="446"/>
      <c r="AG19" s="446"/>
      <c r="AH19" s="446"/>
      <c r="AI19" s="446"/>
      <c r="AJ19" s="446"/>
      <c r="AK19" s="446"/>
      <c r="AL19" s="446"/>
    </row>
    <row r="20" spans="1:38" ht="15.75" x14ac:dyDescent="0.25">
      <c r="A20" s="29">
        <v>8</v>
      </c>
      <c r="B20" s="459" t="s">
        <v>37</v>
      </c>
      <c r="C20" s="459"/>
      <c r="D20" s="459"/>
      <c r="E20" s="459"/>
      <c r="F20" s="459"/>
      <c r="G20" s="459"/>
      <c r="H20" s="459"/>
      <c r="I20" s="460" t="str">
        <f>'BASE GRANTEE SET UP &amp; INFO'!I9</f>
        <v>July</v>
      </c>
      <c r="J20" s="460"/>
      <c r="K20" s="460"/>
      <c r="L20" s="460"/>
      <c r="M20" s="460"/>
      <c r="N20" s="460"/>
      <c r="O20" s="460"/>
      <c r="P20" s="460"/>
      <c r="Q20" s="461">
        <f>'BASE GRANTEE SET UP &amp; INFO'!M9</f>
        <v>2023</v>
      </c>
      <c r="R20" s="461"/>
      <c r="S20" s="461"/>
      <c r="T20" s="461"/>
      <c r="U20" s="23"/>
      <c r="V20" s="462" t="s">
        <v>38</v>
      </c>
      <c r="W20" s="462"/>
      <c r="X20" s="462"/>
      <c r="Y20" s="462"/>
      <c r="Z20" s="462"/>
      <c r="AA20" s="463">
        <f>'BASE GRANTEE SET UP &amp; INFO'!Y9</f>
        <v>0</v>
      </c>
      <c r="AB20" s="463"/>
      <c r="AC20" s="463"/>
      <c r="AD20" s="463"/>
      <c r="AE20" s="463"/>
      <c r="AF20" s="463"/>
      <c r="AG20" s="463"/>
      <c r="AH20" s="463"/>
      <c r="AI20" s="463"/>
      <c r="AJ20" s="463"/>
      <c r="AK20" s="463"/>
      <c r="AL20" s="463"/>
    </row>
    <row r="21" spans="1:38" ht="15.75" customHeight="1" x14ac:dyDescent="0.25">
      <c r="A21" s="489" t="s">
        <v>39</v>
      </c>
      <c r="B21" s="489"/>
      <c r="C21" s="489"/>
      <c r="D21" s="489" t="s">
        <v>40</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row>
    <row r="22" spans="1:38" x14ac:dyDescent="0.25">
      <c r="A22" s="489" t="s">
        <v>41</v>
      </c>
      <c r="B22" s="489"/>
      <c r="C22" s="489"/>
      <c r="D22" s="489" t="s">
        <v>42</v>
      </c>
      <c r="E22" s="489"/>
      <c r="F22" s="489"/>
      <c r="G22" s="489"/>
      <c r="H22" s="489"/>
      <c r="I22" s="489"/>
      <c r="J22" s="489"/>
      <c r="K22" s="489"/>
      <c r="L22" s="489"/>
      <c r="M22" s="489"/>
      <c r="N22" s="489"/>
      <c r="O22" s="489"/>
      <c r="P22" s="489"/>
      <c r="Q22" s="489"/>
      <c r="R22" s="489"/>
      <c r="S22" s="489"/>
      <c r="T22" s="489"/>
      <c r="U22" s="489"/>
      <c r="V22" s="489"/>
      <c r="W22" s="489"/>
      <c r="X22" s="489"/>
      <c r="Y22" s="489"/>
      <c r="Z22" s="489"/>
      <c r="AA22" s="489"/>
      <c r="AB22" s="489"/>
      <c r="AC22" s="489"/>
      <c r="AD22" s="489"/>
      <c r="AE22" s="489"/>
      <c r="AF22" s="489"/>
      <c r="AG22" s="489"/>
      <c r="AH22" s="489"/>
      <c r="AI22" s="489"/>
      <c r="AJ22" s="489"/>
      <c r="AK22" s="489"/>
      <c r="AL22" s="489"/>
    </row>
    <row r="23" spans="1:38" ht="30" customHeight="1" x14ac:dyDescent="0.25">
      <c r="A23" s="490" t="s">
        <v>43</v>
      </c>
      <c r="B23" s="490"/>
      <c r="C23" s="490"/>
      <c r="D23" s="491" t="s">
        <v>44</v>
      </c>
      <c r="E23" s="490"/>
      <c r="F23" s="490"/>
      <c r="G23" s="490"/>
      <c r="H23" s="490"/>
      <c r="I23" s="490"/>
      <c r="J23" s="490"/>
      <c r="K23" s="490"/>
      <c r="L23" s="490"/>
      <c r="M23" s="490"/>
      <c r="N23" s="490"/>
      <c r="O23" s="490"/>
      <c r="P23" s="490"/>
      <c r="Q23" s="490"/>
      <c r="R23" s="490"/>
      <c r="S23" s="490"/>
      <c r="T23" s="490"/>
      <c r="U23" s="490"/>
      <c r="V23" s="490"/>
      <c r="W23" s="490"/>
      <c r="X23" s="490"/>
      <c r="Y23" s="490"/>
      <c r="Z23" s="490"/>
      <c r="AA23" s="490"/>
      <c r="AB23" s="490"/>
      <c r="AC23" s="490"/>
      <c r="AD23" s="490"/>
      <c r="AE23" s="490"/>
      <c r="AF23" s="490"/>
      <c r="AG23" s="490"/>
      <c r="AH23" s="490"/>
      <c r="AI23" s="490"/>
      <c r="AJ23" s="490"/>
      <c r="AK23" s="490"/>
      <c r="AL23" s="490"/>
    </row>
    <row r="24" spans="1:38" ht="45" customHeight="1" x14ac:dyDescent="0.25">
      <c r="A24" s="489" t="s">
        <v>45</v>
      </c>
      <c r="B24" s="489"/>
      <c r="C24" s="489"/>
      <c r="D24" s="489" t="s">
        <v>46</v>
      </c>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row>
    <row r="25" spans="1:38" ht="45" customHeight="1" x14ac:dyDescent="0.25">
      <c r="A25" s="34" t="s">
        <v>47</v>
      </c>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5"/>
    </row>
    <row r="26" spans="1:38" ht="15" customHeight="1" x14ac:dyDescent="0.25">
      <c r="A26" s="448" t="s">
        <v>39</v>
      </c>
      <c r="B26" s="448"/>
      <c r="C26" s="448"/>
      <c r="D26" s="448" t="s">
        <v>48</v>
      </c>
      <c r="E26" s="448"/>
      <c r="F26" s="448"/>
      <c r="G26" s="448"/>
      <c r="H26" s="448"/>
      <c r="I26" s="448"/>
      <c r="J26" s="448"/>
      <c r="K26" s="448"/>
      <c r="L26" s="448"/>
      <c r="M26" s="448"/>
      <c r="N26" s="448"/>
      <c r="O26" s="448"/>
      <c r="P26" s="448"/>
      <c r="Q26" s="448"/>
      <c r="R26" s="448"/>
      <c r="S26" s="448"/>
      <c r="T26" s="448"/>
      <c r="U26" s="448"/>
      <c r="V26" s="448"/>
      <c r="W26" s="448"/>
      <c r="X26" s="448"/>
      <c r="Y26" s="448"/>
      <c r="Z26" s="448"/>
      <c r="AA26" s="448"/>
      <c r="AB26" s="448"/>
      <c r="AC26" s="448"/>
      <c r="AD26" s="448"/>
      <c r="AE26" s="448"/>
      <c r="AF26" s="448"/>
      <c r="AG26" s="448"/>
      <c r="AH26" s="448"/>
      <c r="AI26" s="448"/>
      <c r="AJ26" s="448"/>
      <c r="AK26" s="448"/>
      <c r="AL26" s="448"/>
    </row>
    <row r="27" spans="1:38" ht="15" customHeight="1" x14ac:dyDescent="0.25">
      <c r="A27" s="448" t="s">
        <v>41</v>
      </c>
      <c r="B27" s="448"/>
      <c r="C27" s="448"/>
      <c r="D27" s="448" t="s">
        <v>49</v>
      </c>
      <c r="E27" s="448"/>
      <c r="F27" s="448"/>
      <c r="G27" s="448"/>
      <c r="H27" s="448"/>
      <c r="I27" s="448"/>
      <c r="J27" s="448"/>
      <c r="K27" s="448"/>
      <c r="L27" s="448"/>
      <c r="M27" s="448"/>
      <c r="N27" s="448"/>
      <c r="O27" s="448"/>
      <c r="P27" s="448"/>
      <c r="Q27" s="448"/>
      <c r="R27" s="448"/>
      <c r="S27" s="448"/>
      <c r="T27" s="448"/>
      <c r="U27" s="448"/>
      <c r="V27" s="448"/>
      <c r="W27" s="448"/>
      <c r="X27" s="448"/>
      <c r="Y27" s="448"/>
      <c r="Z27" s="448"/>
      <c r="AA27" s="448"/>
      <c r="AB27" s="448"/>
      <c r="AC27" s="448"/>
      <c r="AD27" s="448"/>
      <c r="AE27" s="448"/>
      <c r="AF27" s="448"/>
      <c r="AG27" s="448"/>
      <c r="AH27" s="448"/>
      <c r="AI27" s="448"/>
      <c r="AJ27" s="448"/>
      <c r="AK27" s="448"/>
      <c r="AL27" s="448"/>
    </row>
    <row r="28" spans="1:38" x14ac:dyDescent="0.25">
      <c r="A28" s="397" t="s">
        <v>50</v>
      </c>
      <c r="B28" s="398"/>
      <c r="C28" s="399"/>
      <c r="D28" s="397" t="s">
        <v>51</v>
      </c>
      <c r="E28" s="398"/>
      <c r="F28" s="398"/>
      <c r="G28" s="398"/>
      <c r="H28" s="398"/>
      <c r="I28" s="398"/>
      <c r="J28" s="398"/>
      <c r="K28" s="398"/>
      <c r="L28" s="398"/>
      <c r="M28" s="398"/>
      <c r="N28" s="398"/>
      <c r="O28" s="398"/>
      <c r="P28" s="398"/>
      <c r="Q28" s="398"/>
      <c r="R28" s="398"/>
      <c r="S28" s="398"/>
      <c r="T28" s="398"/>
      <c r="U28" s="398"/>
      <c r="V28" s="398"/>
      <c r="W28" s="398"/>
      <c r="X28" s="398"/>
      <c r="Y28" s="398"/>
      <c r="Z28" s="398"/>
      <c r="AA28" s="398"/>
      <c r="AB28" s="398"/>
      <c r="AC28" s="398"/>
      <c r="AD28" s="398"/>
      <c r="AE28" s="398"/>
      <c r="AF28" s="398"/>
      <c r="AG28" s="398"/>
      <c r="AH28" s="398"/>
      <c r="AI28" s="398"/>
      <c r="AJ28" s="398"/>
      <c r="AK28" s="398"/>
      <c r="AL28" s="399"/>
    </row>
    <row r="29" spans="1:38" ht="15" customHeight="1" x14ac:dyDescent="0.25">
      <c r="A29" s="448" t="s">
        <v>52</v>
      </c>
      <c r="B29" s="448"/>
      <c r="C29" s="448"/>
      <c r="D29" s="448" t="s">
        <v>53</v>
      </c>
      <c r="E29" s="448"/>
      <c r="F29" s="448"/>
      <c r="G29" s="448"/>
      <c r="H29" s="448"/>
      <c r="I29" s="448"/>
      <c r="J29" s="448"/>
      <c r="K29" s="448"/>
      <c r="L29" s="448"/>
      <c r="M29" s="448"/>
      <c r="N29" s="448"/>
      <c r="O29" s="448"/>
      <c r="P29" s="448"/>
      <c r="Q29" s="448"/>
      <c r="R29" s="448"/>
      <c r="S29" s="448"/>
      <c r="T29" s="448"/>
      <c r="U29" s="448"/>
      <c r="V29" s="448"/>
      <c r="W29" s="448"/>
      <c r="X29" s="448"/>
      <c r="Y29" s="448"/>
      <c r="Z29" s="448"/>
      <c r="AA29" s="448"/>
      <c r="AB29" s="448"/>
      <c r="AC29" s="448"/>
      <c r="AD29" s="448"/>
      <c r="AE29" s="448"/>
      <c r="AF29" s="448"/>
      <c r="AG29" s="448"/>
      <c r="AH29" s="448"/>
      <c r="AI29" s="448"/>
      <c r="AJ29" s="448"/>
      <c r="AK29" s="448"/>
      <c r="AL29" s="448"/>
    </row>
    <row r="30" spans="1:38" x14ac:dyDescent="0.25">
      <c r="A30" s="449" t="s">
        <v>54</v>
      </c>
      <c r="B30" s="450"/>
      <c r="C30" s="451"/>
      <c r="D30" s="449" t="s">
        <v>55</v>
      </c>
      <c r="E30" s="450"/>
      <c r="F30" s="450"/>
      <c r="G30" s="450"/>
      <c r="H30" s="450"/>
      <c r="I30" s="450"/>
      <c r="J30" s="450"/>
      <c r="K30" s="450"/>
      <c r="L30" s="450"/>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450"/>
      <c r="AK30" s="450"/>
      <c r="AL30" s="451"/>
    </row>
    <row r="31" spans="1:38" x14ac:dyDescent="0.25">
      <c r="A31" s="449" t="s">
        <v>56</v>
      </c>
      <c r="B31" s="450"/>
      <c r="C31" s="451"/>
      <c r="D31" s="449" t="s">
        <v>57</v>
      </c>
      <c r="E31" s="450"/>
      <c r="F31" s="450"/>
      <c r="G31" s="450"/>
      <c r="H31" s="450"/>
      <c r="I31" s="450"/>
      <c r="J31" s="450"/>
      <c r="K31" s="450"/>
      <c r="L31" s="450"/>
      <c r="M31" s="450"/>
      <c r="N31" s="450"/>
      <c r="O31" s="450"/>
      <c r="P31" s="450"/>
      <c r="Q31" s="450"/>
      <c r="R31" s="450"/>
      <c r="S31" s="450"/>
      <c r="T31" s="450"/>
      <c r="U31" s="450"/>
      <c r="V31" s="450"/>
      <c r="W31" s="450"/>
      <c r="X31" s="450"/>
      <c r="Y31" s="450"/>
      <c r="Z31" s="450"/>
      <c r="AA31" s="450"/>
      <c r="AB31" s="450"/>
      <c r="AC31" s="450"/>
      <c r="AD31" s="450"/>
      <c r="AE31" s="450"/>
      <c r="AF31" s="450"/>
      <c r="AG31" s="450"/>
      <c r="AH31" s="450"/>
      <c r="AI31" s="450"/>
      <c r="AJ31" s="450"/>
      <c r="AK31" s="450"/>
      <c r="AL31" s="451"/>
    </row>
    <row r="32" spans="1:38" ht="30" customHeight="1" x14ac:dyDescent="0.25">
      <c r="A32" s="403" t="s">
        <v>58</v>
      </c>
      <c r="B32" s="403"/>
      <c r="C32" s="403"/>
      <c r="D32" s="403" t="s">
        <v>59</v>
      </c>
      <c r="E32" s="403"/>
      <c r="F32" s="403"/>
      <c r="G32" s="403"/>
      <c r="H32" s="403"/>
      <c r="I32" s="403"/>
      <c r="J32" s="403"/>
      <c r="K32" s="403"/>
      <c r="L32" s="403"/>
      <c r="M32" s="403"/>
      <c r="N32" s="403"/>
      <c r="O32" s="403"/>
      <c r="P32" s="403"/>
      <c r="Q32" s="403"/>
      <c r="R32" s="403"/>
      <c r="S32" s="403"/>
      <c r="T32" s="403"/>
      <c r="U32" s="403"/>
      <c r="V32" s="403"/>
      <c r="W32" s="403"/>
      <c r="X32" s="403"/>
      <c r="Y32" s="403"/>
      <c r="Z32" s="403"/>
      <c r="AA32" s="403"/>
      <c r="AB32" s="403"/>
      <c r="AC32" s="403"/>
      <c r="AD32" s="403"/>
      <c r="AE32" s="403"/>
      <c r="AF32" s="403"/>
      <c r="AG32" s="403"/>
      <c r="AH32" s="403"/>
      <c r="AI32" s="403"/>
      <c r="AJ32" s="403"/>
      <c r="AK32" s="403"/>
      <c r="AL32" s="403"/>
    </row>
    <row r="33" spans="1:38" x14ac:dyDescent="0.25">
      <c r="A33" s="403" t="s">
        <v>60</v>
      </c>
      <c r="B33" s="403"/>
      <c r="C33" s="403"/>
      <c r="D33" s="403" t="s">
        <v>61</v>
      </c>
      <c r="E33" s="403"/>
      <c r="F33" s="403"/>
      <c r="G33" s="403"/>
      <c r="H33" s="403"/>
      <c r="I33" s="403"/>
      <c r="J33" s="403"/>
      <c r="K33" s="403"/>
      <c r="L33" s="403"/>
      <c r="M33" s="403"/>
      <c r="N33" s="403"/>
      <c r="O33" s="403"/>
      <c r="P33" s="403"/>
      <c r="Q33" s="403"/>
      <c r="R33" s="403"/>
      <c r="S33" s="403"/>
      <c r="T33" s="403"/>
      <c r="U33" s="403"/>
      <c r="V33" s="403"/>
      <c r="W33" s="403"/>
      <c r="X33" s="403"/>
      <c r="Y33" s="403"/>
      <c r="Z33" s="403"/>
      <c r="AA33" s="403"/>
      <c r="AB33" s="403"/>
      <c r="AC33" s="403"/>
      <c r="AD33" s="403"/>
      <c r="AE33" s="403"/>
      <c r="AF33" s="403"/>
      <c r="AG33" s="403"/>
      <c r="AH33" s="403"/>
      <c r="AI33" s="403"/>
      <c r="AJ33" s="403"/>
      <c r="AK33" s="403"/>
      <c r="AL33" s="403"/>
    </row>
    <row r="34" spans="1:38" x14ac:dyDescent="0.25">
      <c r="A34" s="403" t="s">
        <v>62</v>
      </c>
      <c r="B34" s="403"/>
      <c r="C34" s="403"/>
      <c r="D34" s="403" t="s">
        <v>63</v>
      </c>
      <c r="E34" s="403"/>
      <c r="F34" s="403"/>
      <c r="G34" s="403"/>
      <c r="H34" s="403"/>
      <c r="I34" s="403"/>
      <c r="J34" s="403"/>
      <c r="K34" s="403"/>
      <c r="L34" s="403"/>
      <c r="M34" s="403"/>
      <c r="N34" s="403"/>
      <c r="O34" s="403"/>
      <c r="P34" s="403"/>
      <c r="Q34" s="403"/>
      <c r="R34" s="403"/>
      <c r="S34" s="403"/>
      <c r="T34" s="403"/>
      <c r="U34" s="403"/>
      <c r="V34" s="403"/>
      <c r="W34" s="403"/>
      <c r="X34" s="403"/>
      <c r="Y34" s="403"/>
      <c r="Z34" s="403"/>
      <c r="AA34" s="403"/>
      <c r="AB34" s="403"/>
      <c r="AC34" s="403"/>
      <c r="AD34" s="403"/>
      <c r="AE34" s="403"/>
      <c r="AF34" s="403"/>
      <c r="AG34" s="403"/>
      <c r="AH34" s="403"/>
      <c r="AI34" s="403"/>
      <c r="AJ34" s="403"/>
      <c r="AK34" s="403"/>
      <c r="AL34" s="403"/>
    </row>
    <row r="35" spans="1:38" ht="30" customHeight="1" x14ac:dyDescent="0.25">
      <c r="A35" s="403" t="s">
        <v>64</v>
      </c>
      <c r="B35" s="403"/>
      <c r="C35" s="403"/>
      <c r="D35" s="403" t="s">
        <v>65</v>
      </c>
      <c r="E35" s="403"/>
      <c r="F35" s="403"/>
      <c r="G35" s="403"/>
      <c r="H35" s="403"/>
      <c r="I35" s="403"/>
      <c r="J35" s="403"/>
      <c r="K35" s="403"/>
      <c r="L35" s="403"/>
      <c r="M35" s="403"/>
      <c r="N35" s="403"/>
      <c r="O35" s="403"/>
      <c r="P35" s="403"/>
      <c r="Q35" s="403"/>
      <c r="R35" s="403"/>
      <c r="S35" s="403"/>
      <c r="T35" s="403"/>
      <c r="U35" s="403"/>
      <c r="V35" s="403"/>
      <c r="W35" s="403"/>
      <c r="X35" s="403"/>
      <c r="Y35" s="403"/>
      <c r="Z35" s="403"/>
      <c r="AA35" s="403"/>
      <c r="AB35" s="403"/>
      <c r="AC35" s="403"/>
      <c r="AD35" s="403"/>
      <c r="AE35" s="403"/>
      <c r="AF35" s="403"/>
      <c r="AG35" s="403"/>
      <c r="AH35" s="403"/>
      <c r="AI35" s="403"/>
      <c r="AJ35" s="403"/>
      <c r="AK35" s="403"/>
      <c r="AL35" s="403"/>
    </row>
    <row r="36" spans="1:38" x14ac:dyDescent="0.25">
      <c r="A36" s="403" t="s">
        <v>66</v>
      </c>
      <c r="B36" s="403"/>
      <c r="C36" s="403"/>
      <c r="D36" s="403" t="s">
        <v>67</v>
      </c>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c r="AG36" s="403"/>
      <c r="AH36" s="403"/>
      <c r="AI36" s="403"/>
      <c r="AJ36" s="403"/>
      <c r="AK36" s="403"/>
      <c r="AL36" s="403"/>
    </row>
    <row r="37" spans="1:38" ht="15" customHeight="1" x14ac:dyDescent="0.25">
      <c r="A37" s="403" t="s">
        <v>68</v>
      </c>
      <c r="B37" s="403"/>
      <c r="C37" s="403"/>
      <c r="D37" s="403" t="s">
        <v>69</v>
      </c>
      <c r="E37" s="403"/>
      <c r="F37" s="403"/>
      <c r="G37" s="403"/>
      <c r="H37" s="403"/>
      <c r="I37" s="403"/>
      <c r="J37" s="403"/>
      <c r="K37" s="403"/>
      <c r="L37" s="403"/>
      <c r="M37" s="403"/>
      <c r="N37" s="403"/>
      <c r="O37" s="403"/>
      <c r="P37" s="403"/>
      <c r="Q37" s="403"/>
      <c r="R37" s="403"/>
      <c r="S37" s="403"/>
      <c r="T37" s="403"/>
      <c r="U37" s="403"/>
      <c r="V37" s="403"/>
      <c r="W37" s="403"/>
      <c r="X37" s="403"/>
      <c r="Y37" s="403"/>
      <c r="Z37" s="403"/>
      <c r="AA37" s="403"/>
      <c r="AB37" s="403"/>
      <c r="AC37" s="403"/>
      <c r="AD37" s="403"/>
      <c r="AE37" s="403"/>
      <c r="AF37" s="403"/>
      <c r="AG37" s="403"/>
      <c r="AH37" s="403"/>
      <c r="AI37" s="403"/>
      <c r="AJ37" s="403"/>
      <c r="AK37" s="403"/>
      <c r="AL37" s="403"/>
    </row>
    <row r="38" spans="1:38" ht="15" customHeight="1" x14ac:dyDescent="0.25">
      <c r="A38" s="403" t="s">
        <v>70</v>
      </c>
      <c r="B38" s="403"/>
      <c r="C38" s="403"/>
      <c r="D38" s="403" t="s">
        <v>71</v>
      </c>
      <c r="E38" s="403"/>
      <c r="F38" s="403"/>
      <c r="G38" s="403"/>
      <c r="H38" s="403"/>
      <c r="I38" s="403"/>
      <c r="J38" s="403"/>
      <c r="K38" s="403"/>
      <c r="L38" s="403"/>
      <c r="M38" s="403"/>
      <c r="N38" s="403"/>
      <c r="O38" s="403"/>
      <c r="P38" s="403"/>
      <c r="Q38" s="403"/>
      <c r="R38" s="403"/>
      <c r="S38" s="403"/>
      <c r="T38" s="403"/>
      <c r="U38" s="403"/>
      <c r="V38" s="403"/>
      <c r="W38" s="403"/>
      <c r="X38" s="403"/>
      <c r="Y38" s="403"/>
      <c r="Z38" s="403"/>
      <c r="AA38" s="403"/>
      <c r="AB38" s="403"/>
      <c r="AC38" s="403"/>
      <c r="AD38" s="403"/>
      <c r="AE38" s="403"/>
      <c r="AF38" s="403"/>
      <c r="AG38" s="403"/>
      <c r="AH38" s="403"/>
      <c r="AI38" s="403"/>
      <c r="AJ38" s="403"/>
      <c r="AK38" s="403"/>
      <c r="AL38" s="403"/>
    </row>
    <row r="39" spans="1:38" ht="15" customHeight="1" x14ac:dyDescent="0.25">
      <c r="A39" s="403" t="s">
        <v>72</v>
      </c>
      <c r="B39" s="403"/>
      <c r="C39" s="403"/>
      <c r="D39" s="403" t="s">
        <v>73</v>
      </c>
      <c r="E39" s="403"/>
      <c r="F39" s="403"/>
      <c r="G39" s="403"/>
      <c r="H39" s="403"/>
      <c r="I39" s="403"/>
      <c r="J39" s="403"/>
      <c r="K39" s="403"/>
      <c r="L39" s="403"/>
      <c r="M39" s="403"/>
      <c r="N39" s="403"/>
      <c r="O39" s="403"/>
      <c r="P39" s="403"/>
      <c r="Q39" s="403"/>
      <c r="R39" s="403"/>
      <c r="S39" s="403"/>
      <c r="T39" s="403"/>
      <c r="U39" s="403"/>
      <c r="V39" s="403"/>
      <c r="W39" s="403"/>
      <c r="X39" s="403"/>
      <c r="Y39" s="403"/>
      <c r="Z39" s="403"/>
      <c r="AA39" s="403"/>
      <c r="AB39" s="403"/>
      <c r="AC39" s="403"/>
      <c r="AD39" s="403"/>
      <c r="AE39" s="403"/>
      <c r="AF39" s="403"/>
      <c r="AG39" s="403"/>
      <c r="AH39" s="403"/>
      <c r="AI39" s="403"/>
      <c r="AJ39" s="403"/>
      <c r="AK39" s="403"/>
      <c r="AL39" s="403"/>
    </row>
    <row r="40" spans="1:38" ht="15" customHeight="1" x14ac:dyDescent="0.25">
      <c r="A40" s="403" t="s">
        <v>74</v>
      </c>
      <c r="B40" s="403"/>
      <c r="C40" s="403"/>
      <c r="D40" s="403" t="s">
        <v>75</v>
      </c>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403"/>
      <c r="AC40" s="403"/>
      <c r="AD40" s="403"/>
      <c r="AE40" s="403"/>
      <c r="AF40" s="403"/>
      <c r="AG40" s="403"/>
      <c r="AH40" s="403"/>
      <c r="AI40" s="403"/>
      <c r="AJ40" s="403"/>
      <c r="AK40" s="403"/>
      <c r="AL40" s="403"/>
    </row>
    <row r="41" spans="1:38" ht="15" customHeight="1" x14ac:dyDescent="0.25">
      <c r="A41" s="403" t="s">
        <v>76</v>
      </c>
      <c r="B41" s="403"/>
      <c r="C41" s="403"/>
      <c r="D41" s="403" t="s">
        <v>77</v>
      </c>
      <c r="E41" s="403"/>
      <c r="F41" s="403"/>
      <c r="G41" s="403"/>
      <c r="H41" s="403"/>
      <c r="I41" s="403"/>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row>
    <row r="42" spans="1:38" ht="15" customHeight="1" x14ac:dyDescent="0.25">
      <c r="A42" s="403" t="s">
        <v>78</v>
      </c>
      <c r="B42" s="403"/>
      <c r="C42" s="403"/>
      <c r="D42" s="403" t="s">
        <v>79</v>
      </c>
      <c r="E42" s="403"/>
      <c r="F42" s="403"/>
      <c r="G42" s="403"/>
      <c r="H42" s="403"/>
      <c r="I42" s="403"/>
      <c r="J42" s="403"/>
      <c r="K42" s="403"/>
      <c r="L42" s="403"/>
      <c r="M42" s="403"/>
      <c r="N42" s="403"/>
      <c r="O42" s="403"/>
      <c r="P42" s="403"/>
      <c r="Q42" s="403"/>
      <c r="R42" s="403"/>
      <c r="S42" s="403"/>
      <c r="T42" s="403"/>
      <c r="U42" s="403"/>
      <c r="V42" s="403"/>
      <c r="W42" s="403"/>
      <c r="X42" s="403"/>
      <c r="Y42" s="403"/>
      <c r="Z42" s="403"/>
      <c r="AA42" s="403"/>
      <c r="AB42" s="403"/>
      <c r="AC42" s="403"/>
      <c r="AD42" s="403"/>
      <c r="AE42" s="403"/>
      <c r="AF42" s="403"/>
      <c r="AG42" s="403"/>
      <c r="AH42" s="403"/>
      <c r="AI42" s="403"/>
      <c r="AJ42" s="403"/>
      <c r="AK42" s="403"/>
      <c r="AL42" s="403"/>
    </row>
    <row r="43" spans="1:38" ht="15" customHeight="1" x14ac:dyDescent="0.25">
      <c r="A43" s="403" t="s">
        <v>80</v>
      </c>
      <c r="B43" s="403"/>
      <c r="C43" s="403"/>
      <c r="D43" s="403" t="s">
        <v>81</v>
      </c>
      <c r="E43" s="403"/>
      <c r="F43" s="403"/>
      <c r="G43" s="403"/>
      <c r="H43" s="403"/>
      <c r="I43" s="403"/>
      <c r="J43" s="403"/>
      <c r="K43" s="403"/>
      <c r="L43" s="403"/>
      <c r="M43" s="403"/>
      <c r="N43" s="403"/>
      <c r="O43" s="403"/>
      <c r="P43" s="403"/>
      <c r="Q43" s="403"/>
      <c r="R43" s="403"/>
      <c r="S43" s="403"/>
      <c r="T43" s="403"/>
      <c r="U43" s="403"/>
      <c r="V43" s="403"/>
      <c r="W43" s="403"/>
      <c r="X43" s="403"/>
      <c r="Y43" s="403"/>
      <c r="Z43" s="403"/>
      <c r="AA43" s="403"/>
      <c r="AB43" s="403"/>
      <c r="AC43" s="403"/>
      <c r="AD43" s="403"/>
      <c r="AE43" s="403"/>
      <c r="AF43" s="403"/>
      <c r="AG43" s="403"/>
      <c r="AH43" s="403"/>
      <c r="AI43" s="403"/>
      <c r="AJ43" s="403"/>
      <c r="AK43" s="403"/>
      <c r="AL43" s="403"/>
    </row>
    <row r="44" spans="1:38" ht="15" customHeight="1" x14ac:dyDescent="0.25">
      <c r="A44" s="403" t="s">
        <v>82</v>
      </c>
      <c r="B44" s="403"/>
      <c r="C44" s="403"/>
      <c r="D44" s="400" t="s">
        <v>83</v>
      </c>
      <c r="E44" s="401"/>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401"/>
      <c r="AF44" s="401"/>
      <c r="AG44" s="401"/>
      <c r="AH44" s="401"/>
      <c r="AI44" s="401"/>
      <c r="AJ44" s="401"/>
      <c r="AK44" s="401"/>
      <c r="AL44" s="402"/>
    </row>
    <row r="45" spans="1:38" ht="15" customHeight="1" x14ac:dyDescent="0.25">
      <c r="A45" s="403" t="s">
        <v>84</v>
      </c>
      <c r="B45" s="403"/>
      <c r="C45" s="403"/>
      <c r="D45" s="403" t="s">
        <v>85</v>
      </c>
      <c r="E45" s="403"/>
      <c r="F45" s="403"/>
      <c r="G45" s="403"/>
      <c r="H45" s="403"/>
      <c r="I45" s="403"/>
      <c r="J45" s="403"/>
      <c r="K45" s="403"/>
      <c r="L45" s="403"/>
      <c r="M45" s="403"/>
      <c r="N45" s="403"/>
      <c r="O45" s="403"/>
      <c r="P45" s="403"/>
      <c r="Q45" s="403"/>
      <c r="R45" s="403"/>
      <c r="S45" s="403"/>
      <c r="T45" s="403"/>
      <c r="U45" s="403"/>
      <c r="V45" s="403"/>
      <c r="W45" s="403"/>
      <c r="X45" s="403"/>
      <c r="Y45" s="403"/>
      <c r="Z45" s="403"/>
      <c r="AA45" s="403"/>
      <c r="AB45" s="403"/>
      <c r="AC45" s="403"/>
      <c r="AD45" s="403"/>
      <c r="AE45" s="403"/>
      <c r="AF45" s="403"/>
      <c r="AG45" s="403"/>
      <c r="AH45" s="403"/>
      <c r="AI45" s="403"/>
      <c r="AJ45" s="403"/>
      <c r="AK45" s="403"/>
      <c r="AL45" s="403"/>
    </row>
    <row r="46" spans="1:38" ht="15" customHeight="1" x14ac:dyDescent="0.25">
      <c r="A46" s="403" t="s">
        <v>86</v>
      </c>
      <c r="B46" s="403"/>
      <c r="C46" s="403"/>
      <c r="D46" s="403" t="s">
        <v>87</v>
      </c>
      <c r="E46" s="403"/>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row>
    <row r="47" spans="1:38" ht="15" customHeight="1" x14ac:dyDescent="0.25">
      <c r="A47" s="403" t="s">
        <v>88</v>
      </c>
      <c r="B47" s="403"/>
      <c r="C47" s="403"/>
      <c r="D47" s="403" t="s">
        <v>89</v>
      </c>
      <c r="E47" s="403"/>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row>
    <row r="48" spans="1:38" ht="15" customHeight="1" x14ac:dyDescent="0.25">
      <c r="A48" s="403" t="s">
        <v>90</v>
      </c>
      <c r="B48" s="403"/>
      <c r="C48" s="403"/>
      <c r="D48" s="403" t="s">
        <v>91</v>
      </c>
      <c r="E48" s="403"/>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51" ht="15" customHeight="1" x14ac:dyDescent="0.25">
      <c r="A49" s="403" t="s">
        <v>92</v>
      </c>
      <c r="B49" s="403"/>
      <c r="C49" s="403"/>
      <c r="D49" s="403" t="s">
        <v>93</v>
      </c>
      <c r="E49" s="403"/>
      <c r="F49" s="403"/>
      <c r="G49" s="403"/>
      <c r="H49" s="403"/>
      <c r="I49" s="403"/>
      <c r="J49" s="403"/>
      <c r="K49" s="403"/>
      <c r="L49" s="403"/>
      <c r="M49" s="403"/>
      <c r="N49" s="403"/>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row>
    <row r="50" spans="1:51" ht="15" customHeight="1" x14ac:dyDescent="0.25">
      <c r="A50" s="403" t="s">
        <v>94</v>
      </c>
      <c r="B50" s="403"/>
      <c r="C50" s="403"/>
      <c r="D50" s="400" t="s">
        <v>95</v>
      </c>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402"/>
    </row>
    <row r="51" spans="1:51" ht="15" customHeight="1" x14ac:dyDescent="0.25">
      <c r="A51" s="403" t="s">
        <v>96</v>
      </c>
      <c r="B51" s="403"/>
      <c r="C51" s="403"/>
      <c r="D51" s="403" t="s">
        <v>93</v>
      </c>
      <c r="E51" s="403"/>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row>
    <row r="52" spans="1:51" ht="15" customHeight="1" x14ac:dyDescent="0.25">
      <c r="A52" s="403" t="s">
        <v>97</v>
      </c>
      <c r="B52" s="403"/>
      <c r="C52" s="403"/>
      <c r="D52" s="400" t="s">
        <v>98</v>
      </c>
      <c r="E52" s="401"/>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c r="AJ52" s="401"/>
      <c r="AK52" s="401"/>
      <c r="AL52" s="402"/>
    </row>
    <row r="53" spans="1:51" ht="15" customHeight="1" x14ac:dyDescent="0.25">
      <c r="A53" s="403" t="s">
        <v>99</v>
      </c>
      <c r="B53" s="403"/>
      <c r="C53" s="403"/>
      <c r="D53" s="404" t="s">
        <v>100</v>
      </c>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row>
    <row r="54" spans="1:51" ht="15" customHeight="1" x14ac:dyDescent="0.25">
      <c r="A54" s="403" t="s">
        <v>101</v>
      </c>
      <c r="B54" s="403"/>
      <c r="C54" s="403"/>
      <c r="D54" s="404" t="s">
        <v>102</v>
      </c>
      <c r="E54" s="404"/>
      <c r="F54" s="404"/>
      <c r="G54" s="404"/>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row>
    <row r="55" spans="1:51" ht="15" customHeight="1" x14ac:dyDescent="0.25">
      <c r="A55" s="403" t="s">
        <v>103</v>
      </c>
      <c r="B55" s="403"/>
      <c r="C55" s="403"/>
      <c r="D55" s="403" t="s">
        <v>104</v>
      </c>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403"/>
      <c r="AF55" s="403"/>
      <c r="AG55" s="403"/>
      <c r="AH55" s="403"/>
      <c r="AI55" s="403"/>
      <c r="AJ55" s="403"/>
      <c r="AK55" s="403"/>
      <c r="AL55" s="403"/>
    </row>
    <row r="56" spans="1:51" ht="15" customHeight="1" x14ac:dyDescent="0.25">
      <c r="A56" s="403" t="s">
        <v>105</v>
      </c>
      <c r="B56" s="403"/>
      <c r="C56" s="403"/>
      <c r="D56" s="403" t="s">
        <v>106</v>
      </c>
      <c r="E56" s="403"/>
      <c r="F56" s="403"/>
      <c r="G56" s="403"/>
      <c r="H56" s="403"/>
      <c r="I56" s="403"/>
      <c r="J56" s="403"/>
      <c r="K56" s="403"/>
      <c r="L56" s="403"/>
      <c r="M56" s="403"/>
      <c r="N56" s="403"/>
      <c r="O56" s="403"/>
      <c r="P56" s="403"/>
      <c r="Q56" s="403"/>
      <c r="R56" s="403"/>
      <c r="S56" s="403"/>
      <c r="T56" s="403"/>
      <c r="U56" s="403"/>
      <c r="V56" s="403"/>
      <c r="W56" s="403"/>
      <c r="X56" s="403"/>
      <c r="Y56" s="403"/>
      <c r="Z56" s="403"/>
      <c r="AA56" s="403"/>
      <c r="AB56" s="403"/>
      <c r="AC56" s="403"/>
      <c r="AD56" s="403"/>
      <c r="AE56" s="403"/>
      <c r="AF56" s="403"/>
      <c r="AG56" s="403"/>
      <c r="AH56" s="403"/>
      <c r="AI56" s="403"/>
      <c r="AJ56" s="403"/>
      <c r="AK56" s="403"/>
      <c r="AL56" s="403"/>
    </row>
    <row r="57" spans="1:51" ht="15" customHeight="1" x14ac:dyDescent="0.25">
      <c r="A57" s="403" t="s">
        <v>107</v>
      </c>
      <c r="B57" s="403"/>
      <c r="C57" s="403"/>
      <c r="D57" s="403" t="s">
        <v>108</v>
      </c>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row>
    <row r="58" spans="1:51" ht="15" customHeight="1" x14ac:dyDescent="0.25">
      <c r="A58" s="403" t="s">
        <v>109</v>
      </c>
      <c r="B58" s="403"/>
      <c r="C58" s="403"/>
      <c r="D58" s="403" t="s">
        <v>110</v>
      </c>
      <c r="E58" s="403"/>
      <c r="F58" s="403"/>
      <c r="G58" s="403"/>
      <c r="H58" s="403"/>
      <c r="I58" s="403"/>
      <c r="J58" s="403"/>
      <c r="K58" s="403"/>
      <c r="L58" s="403"/>
      <c r="M58" s="403"/>
      <c r="N58" s="403"/>
      <c r="O58" s="403"/>
      <c r="P58" s="403"/>
      <c r="Q58" s="403"/>
      <c r="R58" s="403"/>
      <c r="S58" s="403"/>
      <c r="T58" s="403"/>
      <c r="U58" s="403"/>
      <c r="V58" s="403"/>
      <c r="W58" s="403"/>
      <c r="X58" s="403"/>
      <c r="Y58" s="403"/>
      <c r="Z58" s="403"/>
      <c r="AA58" s="403"/>
      <c r="AB58" s="403"/>
      <c r="AC58" s="403"/>
      <c r="AD58" s="403"/>
      <c r="AE58" s="403"/>
      <c r="AF58" s="403"/>
      <c r="AG58" s="403"/>
      <c r="AH58" s="403"/>
      <c r="AI58" s="403"/>
      <c r="AJ58" s="403"/>
      <c r="AK58" s="403"/>
      <c r="AL58" s="403"/>
      <c r="AM58" s="312"/>
      <c r="AN58" s="313"/>
      <c r="AO58" s="314"/>
      <c r="AP58" s="315"/>
      <c r="AQ58" s="316"/>
      <c r="AR58" s="317"/>
      <c r="AS58" s="74"/>
      <c r="AT58" s="318"/>
      <c r="AU58" s="319"/>
      <c r="AV58" s="319"/>
      <c r="AW58" s="73"/>
      <c r="AX58" s="320"/>
      <c r="AY58" s="320"/>
    </row>
    <row r="59" spans="1:51" ht="15" customHeight="1" x14ac:dyDescent="0.25">
      <c r="A59" s="403" t="s">
        <v>111</v>
      </c>
      <c r="B59" s="403"/>
      <c r="C59" s="403"/>
      <c r="D59" s="403" t="s">
        <v>112</v>
      </c>
      <c r="E59" s="403"/>
      <c r="F59" s="403"/>
      <c r="G59" s="403"/>
      <c r="H59" s="403"/>
      <c r="I59" s="403"/>
      <c r="J59" s="403"/>
      <c r="K59" s="403"/>
      <c r="L59" s="403"/>
      <c r="M59" s="403"/>
      <c r="N59" s="403"/>
      <c r="O59" s="403"/>
      <c r="P59" s="403"/>
      <c r="Q59" s="403"/>
      <c r="R59" s="403"/>
      <c r="S59" s="403"/>
      <c r="T59" s="403"/>
      <c r="U59" s="403"/>
      <c r="V59" s="403"/>
      <c r="W59" s="403"/>
      <c r="X59" s="403"/>
      <c r="Y59" s="403"/>
      <c r="Z59" s="403"/>
      <c r="AA59" s="403"/>
      <c r="AB59" s="403"/>
      <c r="AC59" s="403"/>
      <c r="AD59" s="403"/>
      <c r="AE59" s="403"/>
      <c r="AF59" s="403"/>
      <c r="AG59" s="403"/>
      <c r="AH59" s="403"/>
      <c r="AI59" s="403"/>
      <c r="AJ59" s="403"/>
      <c r="AK59" s="403"/>
      <c r="AL59" s="403"/>
    </row>
    <row r="60" spans="1:51" ht="15" customHeight="1" x14ac:dyDescent="0.25">
      <c r="A60" s="403" t="s">
        <v>113</v>
      </c>
      <c r="B60" s="403"/>
      <c r="C60" s="403"/>
      <c r="D60" s="403" t="s">
        <v>114</v>
      </c>
      <c r="E60" s="403"/>
      <c r="F60" s="403"/>
      <c r="G60" s="403"/>
      <c r="H60" s="403"/>
      <c r="I60" s="403"/>
      <c r="J60" s="403"/>
      <c r="K60" s="403"/>
      <c r="L60" s="403"/>
      <c r="M60" s="403"/>
      <c r="N60" s="403"/>
      <c r="O60" s="403"/>
      <c r="P60" s="403"/>
      <c r="Q60" s="403"/>
      <c r="R60" s="403"/>
      <c r="S60" s="403"/>
      <c r="T60" s="403"/>
      <c r="U60" s="403"/>
      <c r="V60" s="403"/>
      <c r="W60" s="403"/>
      <c r="X60" s="403"/>
      <c r="Y60" s="403"/>
      <c r="Z60" s="403"/>
      <c r="AA60" s="403"/>
      <c r="AB60" s="403"/>
      <c r="AC60" s="403"/>
      <c r="AD60" s="403"/>
      <c r="AE60" s="403"/>
      <c r="AF60" s="403"/>
      <c r="AG60" s="403"/>
      <c r="AH60" s="403"/>
      <c r="AI60" s="403"/>
      <c r="AJ60" s="403"/>
      <c r="AK60" s="403"/>
      <c r="AL60" s="403"/>
    </row>
    <row r="61" spans="1:51" ht="15" customHeight="1" x14ac:dyDescent="0.25">
      <c r="A61" s="403" t="s">
        <v>115</v>
      </c>
      <c r="B61" s="403"/>
      <c r="C61" s="403"/>
      <c r="D61" s="403" t="s">
        <v>116</v>
      </c>
      <c r="E61" s="403"/>
      <c r="F61" s="403"/>
      <c r="G61" s="403"/>
      <c r="H61" s="403"/>
      <c r="I61" s="403"/>
      <c r="J61" s="403"/>
      <c r="K61" s="403"/>
      <c r="L61" s="403"/>
      <c r="M61" s="403"/>
      <c r="N61" s="403"/>
      <c r="O61" s="403"/>
      <c r="P61" s="403"/>
      <c r="Q61" s="403"/>
      <c r="R61" s="403"/>
      <c r="S61" s="403"/>
      <c r="T61" s="403"/>
      <c r="U61" s="403"/>
      <c r="V61" s="403"/>
      <c r="W61" s="403"/>
      <c r="X61" s="403"/>
      <c r="Y61" s="403"/>
      <c r="Z61" s="403"/>
      <c r="AA61" s="403"/>
      <c r="AB61" s="403"/>
      <c r="AC61" s="403"/>
      <c r="AD61" s="403"/>
      <c r="AE61" s="403"/>
      <c r="AF61" s="403"/>
      <c r="AG61" s="403"/>
      <c r="AH61" s="403"/>
      <c r="AI61" s="403"/>
      <c r="AJ61" s="403"/>
      <c r="AK61" s="403"/>
      <c r="AL61" s="403"/>
    </row>
    <row r="62" spans="1:51" ht="15" customHeight="1" x14ac:dyDescent="0.25">
      <c r="A62" s="403" t="s">
        <v>117</v>
      </c>
      <c r="B62" s="403"/>
      <c r="C62" s="403"/>
      <c r="D62" s="403" t="s">
        <v>118</v>
      </c>
      <c r="E62" s="403"/>
      <c r="F62" s="403"/>
      <c r="G62" s="403"/>
      <c r="H62" s="403"/>
      <c r="I62" s="403"/>
      <c r="J62" s="403"/>
      <c r="K62" s="403"/>
      <c r="L62" s="403"/>
      <c r="M62" s="403"/>
      <c r="N62" s="403"/>
      <c r="O62" s="403"/>
      <c r="P62" s="403"/>
      <c r="Q62" s="403"/>
      <c r="R62" s="403"/>
      <c r="S62" s="403"/>
      <c r="T62" s="403"/>
      <c r="U62" s="403"/>
      <c r="V62" s="403"/>
      <c r="W62" s="403"/>
      <c r="X62" s="403"/>
      <c r="Y62" s="403"/>
      <c r="Z62" s="403"/>
      <c r="AA62" s="403"/>
      <c r="AB62" s="403"/>
      <c r="AC62" s="403"/>
      <c r="AD62" s="403"/>
      <c r="AE62" s="403"/>
      <c r="AF62" s="403"/>
      <c r="AG62" s="403"/>
      <c r="AH62" s="403"/>
      <c r="AI62" s="403"/>
      <c r="AJ62" s="403"/>
      <c r="AK62" s="403"/>
      <c r="AL62" s="403"/>
    </row>
    <row r="63" spans="1:51" ht="15" customHeight="1" x14ac:dyDescent="0.25">
      <c r="A63" s="403" t="s">
        <v>119</v>
      </c>
      <c r="B63" s="403"/>
      <c r="C63" s="403"/>
      <c r="D63" s="400" t="s">
        <v>120</v>
      </c>
      <c r="E63" s="401"/>
      <c r="F63" s="401"/>
      <c r="G63" s="401"/>
      <c r="H63" s="401"/>
      <c r="I63" s="401"/>
      <c r="J63" s="401"/>
      <c r="K63" s="401"/>
      <c r="L63" s="401"/>
      <c r="M63" s="401"/>
      <c r="N63" s="401"/>
      <c r="O63" s="401"/>
      <c r="P63" s="401"/>
      <c r="Q63" s="401"/>
      <c r="R63" s="401"/>
      <c r="S63" s="401"/>
      <c r="T63" s="401"/>
      <c r="U63" s="401"/>
      <c r="V63" s="401"/>
      <c r="W63" s="401"/>
      <c r="X63" s="401"/>
      <c r="Y63" s="401"/>
      <c r="Z63" s="401"/>
      <c r="AA63" s="401"/>
      <c r="AB63" s="401"/>
      <c r="AC63" s="401"/>
      <c r="AD63" s="401"/>
      <c r="AE63" s="401"/>
      <c r="AF63" s="401"/>
      <c r="AG63" s="401"/>
      <c r="AH63" s="401"/>
      <c r="AI63" s="401"/>
      <c r="AJ63" s="401"/>
      <c r="AK63" s="401"/>
      <c r="AL63" s="402"/>
    </row>
    <row r="64" spans="1:51" ht="15" customHeight="1" x14ac:dyDescent="0.25">
      <c r="A64" s="403" t="s">
        <v>121</v>
      </c>
      <c r="B64" s="403"/>
      <c r="C64" s="403"/>
      <c r="D64" s="403" t="s">
        <v>122</v>
      </c>
      <c r="E64" s="403"/>
      <c r="F64" s="403"/>
      <c r="G64" s="403"/>
      <c r="H64" s="403"/>
      <c r="I64" s="403"/>
      <c r="J64" s="403"/>
      <c r="K64" s="403"/>
      <c r="L64" s="403"/>
      <c r="M64" s="403"/>
      <c r="N64" s="403"/>
      <c r="O64" s="403"/>
      <c r="P64" s="403"/>
      <c r="Q64" s="403"/>
      <c r="R64" s="403"/>
      <c r="S64" s="403"/>
      <c r="T64" s="403"/>
      <c r="U64" s="403"/>
      <c r="V64" s="403"/>
      <c r="W64" s="403"/>
      <c r="X64" s="403"/>
      <c r="Y64" s="403"/>
      <c r="Z64" s="403"/>
      <c r="AA64" s="403"/>
      <c r="AB64" s="403"/>
      <c r="AC64" s="403"/>
      <c r="AD64" s="403"/>
      <c r="AE64" s="403"/>
      <c r="AF64" s="403"/>
      <c r="AG64" s="403"/>
      <c r="AH64" s="403"/>
      <c r="AI64" s="403"/>
      <c r="AJ64" s="403"/>
      <c r="AK64" s="403"/>
      <c r="AL64" s="403"/>
    </row>
    <row r="65" spans="1:51" ht="15" customHeight="1" x14ac:dyDescent="0.25">
      <c r="A65" s="403" t="s">
        <v>123</v>
      </c>
      <c r="B65" s="403"/>
      <c r="C65" s="403"/>
      <c r="D65" s="400" t="s">
        <v>124</v>
      </c>
      <c r="E65" s="401"/>
      <c r="F65" s="401"/>
      <c r="G65" s="401"/>
      <c r="H65" s="401"/>
      <c r="I65" s="401"/>
      <c r="J65" s="401"/>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c r="AJ65" s="401"/>
      <c r="AK65" s="401"/>
      <c r="AL65" s="402"/>
    </row>
    <row r="66" spans="1:51" ht="15" customHeight="1" x14ac:dyDescent="0.25">
      <c r="A66" s="403" t="s">
        <v>125</v>
      </c>
      <c r="B66" s="403"/>
      <c r="C66" s="403"/>
      <c r="D66" s="403" t="s">
        <v>126</v>
      </c>
      <c r="E66" s="403"/>
      <c r="F66" s="403"/>
      <c r="G66" s="403"/>
      <c r="H66" s="403"/>
      <c r="I66" s="403"/>
      <c r="J66" s="403"/>
      <c r="K66" s="403"/>
      <c r="L66" s="403"/>
      <c r="M66" s="403"/>
      <c r="N66" s="403"/>
      <c r="O66" s="403"/>
      <c r="P66" s="403"/>
      <c r="Q66" s="403"/>
      <c r="R66" s="403"/>
      <c r="S66" s="403"/>
      <c r="T66" s="403"/>
      <c r="U66" s="403"/>
      <c r="V66" s="403"/>
      <c r="W66" s="403"/>
      <c r="X66" s="403"/>
      <c r="Y66" s="403"/>
      <c r="Z66" s="403"/>
      <c r="AA66" s="403"/>
      <c r="AB66" s="403"/>
      <c r="AC66" s="403"/>
      <c r="AD66" s="403"/>
      <c r="AE66" s="403"/>
      <c r="AF66" s="403"/>
      <c r="AG66" s="403"/>
      <c r="AH66" s="403"/>
      <c r="AI66" s="403"/>
      <c r="AJ66" s="403"/>
      <c r="AK66" s="403"/>
      <c r="AL66" s="403"/>
    </row>
    <row r="67" spans="1:51" ht="15" customHeight="1" x14ac:dyDescent="0.25">
      <c r="A67" s="403" t="s">
        <v>127</v>
      </c>
      <c r="B67" s="403"/>
      <c r="C67" s="403"/>
      <c r="D67" s="403" t="s">
        <v>128</v>
      </c>
      <c r="E67" s="403"/>
      <c r="F67" s="403"/>
      <c r="G67" s="403"/>
      <c r="H67" s="403"/>
      <c r="I67" s="403"/>
      <c r="J67" s="403"/>
      <c r="K67" s="403"/>
      <c r="L67" s="403"/>
      <c r="M67" s="403"/>
      <c r="N67" s="403"/>
      <c r="O67" s="403"/>
      <c r="P67" s="403"/>
      <c r="Q67" s="403"/>
      <c r="R67" s="403"/>
      <c r="S67" s="403"/>
      <c r="T67" s="403"/>
      <c r="U67" s="403"/>
      <c r="V67" s="403"/>
      <c r="W67" s="403"/>
      <c r="X67" s="403"/>
      <c r="Y67" s="403"/>
      <c r="Z67" s="403"/>
      <c r="AA67" s="403"/>
      <c r="AB67" s="403"/>
      <c r="AC67" s="403"/>
      <c r="AD67" s="403"/>
      <c r="AE67" s="403"/>
      <c r="AF67" s="403"/>
      <c r="AG67" s="403"/>
      <c r="AH67" s="403"/>
      <c r="AI67" s="403"/>
      <c r="AJ67" s="403"/>
      <c r="AK67" s="403"/>
      <c r="AL67" s="403"/>
      <c r="AN67" s="313"/>
      <c r="AO67" s="314"/>
      <c r="AP67" s="315"/>
      <c r="AQ67" s="316"/>
      <c r="AR67" s="317"/>
      <c r="AS67" s="74"/>
      <c r="AT67" s="318"/>
      <c r="AU67" s="319"/>
      <c r="AV67" s="319"/>
      <c r="AW67" s="73"/>
      <c r="AX67" s="320"/>
      <c r="AY67" s="320"/>
    </row>
    <row r="68" spans="1:51" ht="15" customHeight="1" x14ac:dyDescent="0.25">
      <c r="A68" s="403" t="s">
        <v>129</v>
      </c>
      <c r="B68" s="403"/>
      <c r="C68" s="403"/>
      <c r="D68" s="403" t="s">
        <v>130</v>
      </c>
      <c r="E68" s="403"/>
      <c r="F68" s="403"/>
      <c r="G68" s="403"/>
      <c r="H68" s="403"/>
      <c r="I68" s="403"/>
      <c r="J68" s="403"/>
      <c r="K68" s="403"/>
      <c r="L68" s="403"/>
      <c r="M68" s="403"/>
      <c r="N68" s="403"/>
      <c r="O68" s="403"/>
      <c r="P68" s="403"/>
      <c r="Q68" s="403"/>
      <c r="R68" s="403"/>
      <c r="S68" s="403"/>
      <c r="T68" s="403"/>
      <c r="U68" s="403"/>
      <c r="V68" s="403"/>
      <c r="W68" s="403"/>
      <c r="X68" s="403"/>
      <c r="Y68" s="403"/>
      <c r="Z68" s="403"/>
      <c r="AA68" s="403"/>
      <c r="AB68" s="403"/>
      <c r="AC68" s="403"/>
      <c r="AD68" s="403"/>
      <c r="AE68" s="403"/>
      <c r="AF68" s="403"/>
      <c r="AG68" s="403"/>
      <c r="AH68" s="403"/>
      <c r="AI68" s="403"/>
      <c r="AJ68" s="403"/>
      <c r="AK68" s="403"/>
      <c r="AL68" s="403"/>
    </row>
    <row r="69" spans="1:51" ht="15" customHeight="1" x14ac:dyDescent="0.25">
      <c r="A69" s="403" t="s">
        <v>131</v>
      </c>
      <c r="B69" s="403"/>
      <c r="C69" s="403"/>
      <c r="D69" s="403" t="s">
        <v>132</v>
      </c>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403"/>
      <c r="AF69" s="403"/>
      <c r="AG69" s="403"/>
      <c r="AH69" s="403"/>
      <c r="AI69" s="403"/>
      <c r="AJ69" s="403"/>
      <c r="AK69" s="403"/>
      <c r="AL69" s="403"/>
    </row>
    <row r="70" spans="1:51" ht="15" customHeight="1" x14ac:dyDescent="0.25">
      <c r="A70" s="403" t="s">
        <v>133</v>
      </c>
      <c r="B70" s="403"/>
      <c r="C70" s="403"/>
      <c r="D70" s="403" t="s">
        <v>134</v>
      </c>
      <c r="E70" s="403"/>
      <c r="F70" s="403"/>
      <c r="G70" s="403"/>
      <c r="H70" s="403"/>
      <c r="I70" s="403"/>
      <c r="J70" s="403"/>
      <c r="K70" s="403"/>
      <c r="L70" s="403"/>
      <c r="M70" s="403"/>
      <c r="N70" s="403"/>
      <c r="O70" s="403"/>
      <c r="P70" s="403"/>
      <c r="Q70" s="403"/>
      <c r="R70" s="403"/>
      <c r="S70" s="403"/>
      <c r="T70" s="403"/>
      <c r="U70" s="403"/>
      <c r="V70" s="403"/>
      <c r="W70" s="403"/>
      <c r="X70" s="403"/>
      <c r="Y70" s="403"/>
      <c r="Z70" s="403"/>
      <c r="AA70" s="403"/>
      <c r="AB70" s="403"/>
      <c r="AC70" s="403"/>
      <c r="AD70" s="403"/>
      <c r="AE70" s="403"/>
      <c r="AF70" s="403"/>
      <c r="AG70" s="403"/>
      <c r="AH70" s="403"/>
      <c r="AI70" s="403"/>
      <c r="AJ70" s="403"/>
      <c r="AK70" s="403"/>
      <c r="AL70" s="403"/>
    </row>
    <row r="71" spans="1:51" ht="15" customHeight="1" x14ac:dyDescent="0.25">
      <c r="A71" s="403" t="s">
        <v>135</v>
      </c>
      <c r="B71" s="403"/>
      <c r="C71" s="403"/>
      <c r="D71" s="469" t="s">
        <v>136</v>
      </c>
      <c r="E71" s="469"/>
      <c r="F71" s="469"/>
      <c r="G71" s="469"/>
      <c r="H71" s="469"/>
      <c r="I71" s="469"/>
      <c r="J71" s="469"/>
      <c r="K71" s="469"/>
      <c r="L71" s="469"/>
      <c r="M71" s="469"/>
      <c r="N71" s="469"/>
      <c r="O71" s="469"/>
      <c r="P71" s="469"/>
      <c r="Q71" s="469"/>
      <c r="R71" s="469"/>
      <c r="S71" s="469"/>
      <c r="T71" s="469"/>
      <c r="U71" s="469"/>
      <c r="V71" s="469"/>
      <c r="W71" s="469"/>
      <c r="X71" s="469"/>
      <c r="Y71" s="469"/>
      <c r="Z71" s="469"/>
      <c r="AA71" s="469"/>
      <c r="AB71" s="469"/>
      <c r="AC71" s="469"/>
      <c r="AD71" s="469"/>
      <c r="AE71" s="469"/>
      <c r="AF71" s="469"/>
      <c r="AG71" s="469"/>
      <c r="AH71" s="469"/>
      <c r="AI71" s="469"/>
      <c r="AJ71" s="469"/>
      <c r="AK71" s="469"/>
      <c r="AL71" s="469"/>
    </row>
    <row r="72" spans="1:51" ht="15" customHeight="1" x14ac:dyDescent="0.25">
      <c r="A72" s="403" t="s">
        <v>137</v>
      </c>
      <c r="B72" s="403"/>
      <c r="C72" s="403"/>
      <c r="D72" s="403" t="s">
        <v>138</v>
      </c>
      <c r="E72" s="403"/>
      <c r="F72" s="403"/>
      <c r="G72" s="403"/>
      <c r="H72" s="403"/>
      <c r="I72" s="403"/>
      <c r="J72" s="403"/>
      <c r="K72" s="403"/>
      <c r="L72" s="403"/>
      <c r="M72" s="403"/>
      <c r="N72" s="403"/>
      <c r="O72" s="403"/>
      <c r="P72" s="403"/>
      <c r="Q72" s="403"/>
      <c r="R72" s="403"/>
      <c r="S72" s="403"/>
      <c r="T72" s="403"/>
      <c r="U72" s="403"/>
      <c r="V72" s="403"/>
      <c r="W72" s="403"/>
      <c r="X72" s="403"/>
      <c r="Y72" s="403"/>
      <c r="Z72" s="403"/>
      <c r="AA72" s="403"/>
      <c r="AB72" s="403"/>
      <c r="AC72" s="403"/>
      <c r="AD72" s="403"/>
      <c r="AE72" s="403"/>
      <c r="AF72" s="403"/>
      <c r="AG72" s="403"/>
      <c r="AH72" s="403"/>
      <c r="AI72" s="403"/>
      <c r="AJ72" s="403"/>
      <c r="AK72" s="403"/>
      <c r="AL72" s="403"/>
    </row>
    <row r="73" spans="1:51" ht="15" customHeight="1" x14ac:dyDescent="0.25">
      <c r="A73" s="403" t="s">
        <v>135</v>
      </c>
      <c r="B73" s="403"/>
      <c r="C73" s="403"/>
      <c r="D73" s="403" t="s">
        <v>139</v>
      </c>
      <c r="E73" s="403"/>
      <c r="F73" s="403"/>
      <c r="G73" s="403"/>
      <c r="H73" s="403"/>
      <c r="I73" s="403"/>
      <c r="J73" s="403"/>
      <c r="K73" s="403"/>
      <c r="L73" s="403"/>
      <c r="M73" s="403"/>
      <c r="N73" s="403"/>
      <c r="O73" s="403"/>
      <c r="P73" s="403"/>
      <c r="Q73" s="403"/>
      <c r="R73" s="403"/>
      <c r="S73" s="403"/>
      <c r="T73" s="403"/>
      <c r="U73" s="403"/>
      <c r="V73" s="403"/>
      <c r="W73" s="403"/>
      <c r="X73" s="403"/>
      <c r="Y73" s="403"/>
      <c r="Z73" s="403"/>
      <c r="AA73" s="403"/>
      <c r="AB73" s="403"/>
      <c r="AC73" s="403"/>
      <c r="AD73" s="403"/>
      <c r="AE73" s="403"/>
      <c r="AF73" s="403"/>
      <c r="AG73" s="403"/>
      <c r="AH73" s="403"/>
      <c r="AI73" s="403"/>
      <c r="AJ73" s="403"/>
      <c r="AK73" s="403"/>
      <c r="AL73" s="403"/>
    </row>
    <row r="74" spans="1:51" ht="15" customHeight="1" x14ac:dyDescent="0.25">
      <c r="A74" s="403" t="s">
        <v>140</v>
      </c>
      <c r="B74" s="403"/>
      <c r="C74" s="403"/>
      <c r="D74" s="403" t="s">
        <v>141</v>
      </c>
      <c r="E74" s="403"/>
      <c r="F74" s="403"/>
      <c r="G74" s="403"/>
      <c r="H74" s="403"/>
      <c r="I74" s="403"/>
      <c r="J74" s="403"/>
      <c r="K74" s="403"/>
      <c r="L74" s="403"/>
      <c r="M74" s="403"/>
      <c r="N74" s="403"/>
      <c r="O74" s="403"/>
      <c r="P74" s="403"/>
      <c r="Q74" s="403"/>
      <c r="R74" s="403"/>
      <c r="S74" s="403"/>
      <c r="T74" s="403"/>
      <c r="U74" s="403"/>
      <c r="V74" s="403"/>
      <c r="W74" s="403"/>
      <c r="X74" s="403"/>
      <c r="Y74" s="403"/>
      <c r="Z74" s="403"/>
      <c r="AA74" s="403"/>
      <c r="AB74" s="403"/>
      <c r="AC74" s="403"/>
      <c r="AD74" s="403"/>
      <c r="AE74" s="403"/>
      <c r="AF74" s="403"/>
      <c r="AG74" s="403"/>
      <c r="AH74" s="403"/>
      <c r="AI74" s="403"/>
      <c r="AJ74" s="403"/>
      <c r="AK74" s="403"/>
      <c r="AL74" s="403"/>
    </row>
    <row r="75" spans="1:51" ht="30" customHeight="1" x14ac:dyDescent="0.25">
      <c r="A75" s="403" t="s">
        <v>142</v>
      </c>
      <c r="B75" s="403"/>
      <c r="C75" s="403"/>
      <c r="D75" s="403" t="s">
        <v>143</v>
      </c>
      <c r="E75" s="403"/>
      <c r="F75" s="403"/>
      <c r="G75" s="403"/>
      <c r="H75" s="403"/>
      <c r="I75" s="403"/>
      <c r="J75" s="403"/>
      <c r="K75" s="403"/>
      <c r="L75" s="403"/>
      <c r="M75" s="403"/>
      <c r="N75" s="403"/>
      <c r="O75" s="403"/>
      <c r="P75" s="403"/>
      <c r="Q75" s="403"/>
      <c r="R75" s="403"/>
      <c r="S75" s="403"/>
      <c r="T75" s="403"/>
      <c r="U75" s="403"/>
      <c r="V75" s="403"/>
      <c r="W75" s="403"/>
      <c r="X75" s="403"/>
      <c r="Y75" s="403"/>
      <c r="Z75" s="403"/>
      <c r="AA75" s="403"/>
      <c r="AB75" s="403"/>
      <c r="AC75" s="403"/>
      <c r="AD75" s="403"/>
      <c r="AE75" s="403"/>
      <c r="AF75" s="403"/>
      <c r="AG75" s="403"/>
      <c r="AH75" s="403"/>
      <c r="AI75" s="403"/>
      <c r="AJ75" s="403"/>
      <c r="AK75" s="403"/>
      <c r="AL75" s="403"/>
    </row>
    <row r="76" spans="1:51" ht="15" customHeight="1" x14ac:dyDescent="0.25">
      <c r="A76" s="403" t="s">
        <v>144</v>
      </c>
      <c r="B76" s="403"/>
      <c r="C76" s="403"/>
      <c r="D76" s="403" t="s">
        <v>145</v>
      </c>
      <c r="E76" s="403"/>
      <c r="F76" s="403"/>
      <c r="G76" s="403"/>
      <c r="H76" s="403"/>
      <c r="I76" s="403"/>
      <c r="J76" s="403"/>
      <c r="K76" s="403"/>
      <c r="L76" s="403"/>
      <c r="M76" s="403"/>
      <c r="N76" s="403"/>
      <c r="O76" s="403"/>
      <c r="P76" s="403"/>
      <c r="Q76" s="403"/>
      <c r="R76" s="403"/>
      <c r="S76" s="403"/>
      <c r="T76" s="403"/>
      <c r="U76" s="403"/>
      <c r="V76" s="403"/>
      <c r="W76" s="403"/>
      <c r="X76" s="403"/>
      <c r="Y76" s="403"/>
      <c r="Z76" s="403"/>
      <c r="AA76" s="403"/>
      <c r="AB76" s="403"/>
      <c r="AC76" s="403"/>
      <c r="AD76" s="403"/>
      <c r="AE76" s="403"/>
      <c r="AF76" s="403"/>
      <c r="AG76" s="403"/>
      <c r="AH76" s="403"/>
      <c r="AI76" s="403"/>
      <c r="AJ76" s="403"/>
      <c r="AK76" s="403"/>
      <c r="AL76" s="403"/>
    </row>
    <row r="77" spans="1:51" ht="15" customHeight="1" x14ac:dyDescent="0.25">
      <c r="A77" s="403" t="s">
        <v>146</v>
      </c>
      <c r="B77" s="403"/>
      <c r="C77" s="403"/>
      <c r="D77" s="403" t="s">
        <v>147</v>
      </c>
      <c r="E77" s="403"/>
      <c r="F77" s="403"/>
      <c r="G77" s="403"/>
      <c r="H77" s="403"/>
      <c r="I77" s="403"/>
      <c r="J77" s="403"/>
      <c r="K77" s="403"/>
      <c r="L77" s="403"/>
      <c r="M77" s="403"/>
      <c r="N77" s="403"/>
      <c r="O77" s="403"/>
      <c r="P77" s="403"/>
      <c r="Q77" s="403"/>
      <c r="R77" s="403"/>
      <c r="S77" s="403"/>
      <c r="T77" s="403"/>
      <c r="U77" s="403"/>
      <c r="V77" s="403"/>
      <c r="W77" s="403"/>
      <c r="X77" s="403"/>
      <c r="Y77" s="403"/>
      <c r="Z77" s="403"/>
      <c r="AA77" s="403"/>
      <c r="AB77" s="403"/>
      <c r="AC77" s="403"/>
      <c r="AD77" s="403"/>
      <c r="AE77" s="403"/>
      <c r="AF77" s="403"/>
      <c r="AG77" s="403"/>
      <c r="AH77" s="403"/>
      <c r="AI77" s="403"/>
      <c r="AJ77" s="403"/>
      <c r="AK77" s="403"/>
      <c r="AL77" s="403"/>
    </row>
    <row r="78" spans="1:51" ht="15" customHeight="1" x14ac:dyDescent="0.25">
      <c r="A78" s="403" t="s">
        <v>148</v>
      </c>
      <c r="B78" s="403"/>
      <c r="C78" s="403"/>
      <c r="D78" s="403" t="s">
        <v>149</v>
      </c>
      <c r="E78" s="403"/>
      <c r="F78" s="403"/>
      <c r="G78" s="403"/>
      <c r="H78" s="403"/>
      <c r="I78" s="403"/>
      <c r="J78" s="403"/>
      <c r="K78" s="403"/>
      <c r="L78" s="403"/>
      <c r="M78" s="403"/>
      <c r="N78" s="403"/>
      <c r="O78" s="403"/>
      <c r="P78" s="403"/>
      <c r="Q78" s="403"/>
      <c r="R78" s="403"/>
      <c r="S78" s="403"/>
      <c r="T78" s="403"/>
      <c r="U78" s="403"/>
      <c r="V78" s="403"/>
      <c r="W78" s="403"/>
      <c r="X78" s="403"/>
      <c r="Y78" s="403"/>
      <c r="Z78" s="403"/>
      <c r="AA78" s="403"/>
      <c r="AB78" s="403"/>
      <c r="AC78" s="403"/>
      <c r="AD78" s="403"/>
      <c r="AE78" s="403"/>
      <c r="AF78" s="403"/>
      <c r="AG78" s="403"/>
      <c r="AH78" s="403"/>
      <c r="AI78" s="403"/>
      <c r="AJ78" s="403"/>
      <c r="AK78" s="403"/>
      <c r="AL78" s="403"/>
    </row>
    <row r="79" spans="1:51" ht="15" customHeight="1" x14ac:dyDescent="0.25">
      <c r="A79" s="403" t="s">
        <v>150</v>
      </c>
      <c r="B79" s="403"/>
      <c r="C79" s="403"/>
      <c r="D79" s="403" t="s">
        <v>151</v>
      </c>
      <c r="E79" s="403"/>
      <c r="F79" s="403"/>
      <c r="G79" s="403"/>
      <c r="H79" s="403"/>
      <c r="I79" s="403"/>
      <c r="J79" s="403"/>
      <c r="K79" s="403"/>
      <c r="L79" s="403"/>
      <c r="M79" s="403"/>
      <c r="N79" s="403"/>
      <c r="O79" s="403"/>
      <c r="P79" s="403"/>
      <c r="Q79" s="403"/>
      <c r="R79" s="403"/>
      <c r="S79" s="403"/>
      <c r="T79" s="403"/>
      <c r="U79" s="403"/>
      <c r="V79" s="403"/>
      <c r="W79" s="403"/>
      <c r="X79" s="403"/>
      <c r="Y79" s="403"/>
      <c r="Z79" s="403"/>
      <c r="AA79" s="403"/>
      <c r="AB79" s="403"/>
      <c r="AC79" s="403"/>
      <c r="AD79" s="403"/>
      <c r="AE79" s="403"/>
      <c r="AF79" s="403"/>
      <c r="AG79" s="403"/>
      <c r="AH79" s="403"/>
      <c r="AI79" s="403"/>
      <c r="AJ79" s="403"/>
      <c r="AK79" s="403"/>
      <c r="AL79" s="403"/>
    </row>
    <row r="80" spans="1:51" ht="15" customHeight="1" x14ac:dyDescent="0.25">
      <c r="A80" s="403" t="s">
        <v>152</v>
      </c>
      <c r="B80" s="403"/>
      <c r="C80" s="403"/>
      <c r="D80" s="403" t="s">
        <v>153</v>
      </c>
      <c r="E80" s="403"/>
      <c r="F80" s="403"/>
      <c r="G80" s="403"/>
      <c r="H80" s="403"/>
      <c r="I80" s="403"/>
      <c r="J80" s="403"/>
      <c r="K80" s="403"/>
      <c r="L80" s="403"/>
      <c r="M80" s="403"/>
      <c r="N80" s="403"/>
      <c r="O80" s="403"/>
      <c r="P80" s="403"/>
      <c r="Q80" s="403"/>
      <c r="R80" s="403"/>
      <c r="S80" s="403"/>
      <c r="T80" s="403"/>
      <c r="U80" s="403"/>
      <c r="V80" s="403"/>
      <c r="W80" s="403"/>
      <c r="X80" s="403"/>
      <c r="Y80" s="403"/>
      <c r="Z80" s="403"/>
      <c r="AA80" s="403"/>
      <c r="AB80" s="403"/>
      <c r="AC80" s="403"/>
      <c r="AD80" s="403"/>
      <c r="AE80" s="403"/>
      <c r="AF80" s="403"/>
      <c r="AG80" s="403"/>
      <c r="AH80" s="403"/>
      <c r="AI80" s="403"/>
      <c r="AJ80" s="403"/>
      <c r="AK80" s="403"/>
      <c r="AL80" s="403"/>
    </row>
    <row r="81" spans="1:38" ht="30" customHeight="1" x14ac:dyDescent="0.25">
      <c r="A81" s="403" t="s">
        <v>154</v>
      </c>
      <c r="B81" s="403"/>
      <c r="C81" s="403"/>
      <c r="D81" s="403" t="s">
        <v>155</v>
      </c>
      <c r="E81" s="403"/>
      <c r="F81" s="403"/>
      <c r="G81" s="403"/>
      <c r="H81" s="403"/>
      <c r="I81" s="403"/>
      <c r="J81" s="403"/>
      <c r="K81" s="403"/>
      <c r="L81" s="403"/>
      <c r="M81" s="403"/>
      <c r="N81" s="403"/>
      <c r="O81" s="403"/>
      <c r="P81" s="403"/>
      <c r="Q81" s="403"/>
      <c r="R81" s="403"/>
      <c r="S81" s="403"/>
      <c r="T81" s="403"/>
      <c r="U81" s="403"/>
      <c r="V81" s="403"/>
      <c r="W81" s="403"/>
      <c r="X81" s="403"/>
      <c r="Y81" s="403"/>
      <c r="Z81" s="403"/>
      <c r="AA81" s="403"/>
      <c r="AB81" s="403"/>
      <c r="AC81" s="403"/>
      <c r="AD81" s="403"/>
      <c r="AE81" s="403"/>
      <c r="AF81" s="403"/>
      <c r="AG81" s="403"/>
      <c r="AH81" s="403"/>
      <c r="AI81" s="403"/>
      <c r="AJ81" s="403"/>
      <c r="AK81" s="403"/>
      <c r="AL81" s="403"/>
    </row>
    <row r="82" spans="1:38" ht="15" customHeight="1" x14ac:dyDescent="0.25">
      <c r="A82" s="403" t="s">
        <v>94</v>
      </c>
      <c r="B82" s="403"/>
      <c r="C82" s="403"/>
      <c r="D82" s="403" t="s">
        <v>156</v>
      </c>
      <c r="E82" s="403"/>
      <c r="F82" s="403"/>
      <c r="G82" s="403"/>
      <c r="H82" s="403"/>
      <c r="I82" s="403"/>
      <c r="J82" s="403"/>
      <c r="K82" s="403"/>
      <c r="L82" s="403"/>
      <c r="M82" s="403"/>
      <c r="N82" s="403"/>
      <c r="O82" s="403"/>
      <c r="P82" s="403"/>
      <c r="Q82" s="403"/>
      <c r="R82" s="403"/>
      <c r="S82" s="403"/>
      <c r="T82" s="403"/>
      <c r="U82" s="403"/>
      <c r="V82" s="403"/>
      <c r="W82" s="403"/>
      <c r="X82" s="403"/>
      <c r="Y82" s="403"/>
      <c r="Z82" s="403"/>
      <c r="AA82" s="403"/>
      <c r="AB82" s="403"/>
      <c r="AC82" s="403"/>
      <c r="AD82" s="403"/>
      <c r="AE82" s="403"/>
      <c r="AF82" s="403"/>
      <c r="AG82" s="403"/>
      <c r="AH82" s="403"/>
      <c r="AI82" s="403"/>
      <c r="AJ82" s="403"/>
      <c r="AK82" s="403"/>
      <c r="AL82" s="403"/>
    </row>
    <row r="83" spans="1:38" ht="28.5" x14ac:dyDescent="0.25">
      <c r="A83" s="72" t="s">
        <v>157</v>
      </c>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row>
    <row r="84" spans="1:38" ht="15" customHeight="1" x14ac:dyDescent="0.25">
      <c r="A84" s="448" t="s">
        <v>39</v>
      </c>
      <c r="B84" s="448"/>
      <c r="C84" s="448"/>
      <c r="D84" s="448" t="s">
        <v>48</v>
      </c>
      <c r="E84" s="448"/>
      <c r="F84" s="448"/>
      <c r="G84" s="448"/>
      <c r="H84" s="448"/>
      <c r="I84" s="448"/>
      <c r="J84" s="448"/>
      <c r="K84" s="448"/>
      <c r="L84" s="448"/>
      <c r="M84" s="448"/>
      <c r="N84" s="448"/>
      <c r="O84" s="448"/>
      <c r="P84" s="448"/>
      <c r="Q84" s="448"/>
      <c r="R84" s="448"/>
      <c r="S84" s="448"/>
      <c r="T84" s="448"/>
      <c r="U84" s="448"/>
      <c r="V84" s="448"/>
      <c r="W84" s="448"/>
      <c r="X84" s="448"/>
      <c r="Y84" s="448"/>
      <c r="Z84" s="448"/>
      <c r="AA84" s="448"/>
      <c r="AB84" s="448"/>
      <c r="AC84" s="448"/>
      <c r="AD84" s="448"/>
      <c r="AE84" s="448"/>
      <c r="AF84" s="448"/>
      <c r="AG84" s="448"/>
      <c r="AH84" s="448"/>
      <c r="AI84" s="448"/>
      <c r="AJ84" s="448"/>
      <c r="AK84" s="448"/>
      <c r="AL84" s="448"/>
    </row>
    <row r="85" spans="1:38" ht="15" customHeight="1" x14ac:dyDescent="0.25">
      <c r="A85" s="448" t="s">
        <v>41</v>
      </c>
      <c r="B85" s="448"/>
      <c r="C85" s="448"/>
      <c r="D85" s="448" t="s">
        <v>49</v>
      </c>
      <c r="E85" s="448"/>
      <c r="F85" s="448"/>
      <c r="G85" s="448"/>
      <c r="H85" s="448"/>
      <c r="I85" s="448"/>
      <c r="J85" s="448"/>
      <c r="K85" s="448"/>
      <c r="L85" s="448"/>
      <c r="M85" s="448"/>
      <c r="N85" s="448"/>
      <c r="O85" s="448"/>
      <c r="P85" s="448"/>
      <c r="Q85" s="448"/>
      <c r="R85" s="448"/>
      <c r="S85" s="448"/>
      <c r="T85" s="448"/>
      <c r="U85" s="448"/>
      <c r="V85" s="448"/>
      <c r="W85" s="448"/>
      <c r="X85" s="448"/>
      <c r="Y85" s="448"/>
      <c r="Z85" s="448"/>
      <c r="AA85" s="448"/>
      <c r="AB85" s="448"/>
      <c r="AC85" s="448"/>
      <c r="AD85" s="448"/>
      <c r="AE85" s="448"/>
      <c r="AF85" s="448"/>
      <c r="AG85" s="448"/>
      <c r="AH85" s="448"/>
      <c r="AI85" s="448"/>
      <c r="AJ85" s="448"/>
      <c r="AK85" s="448"/>
      <c r="AL85" s="448"/>
    </row>
    <row r="86" spans="1:38" ht="15" customHeight="1" x14ac:dyDescent="0.25">
      <c r="A86" s="397" t="s">
        <v>50</v>
      </c>
      <c r="B86" s="398"/>
      <c r="C86" s="399"/>
      <c r="D86" s="397" t="s">
        <v>51</v>
      </c>
      <c r="E86" s="398"/>
      <c r="F86" s="398"/>
      <c r="G86" s="398"/>
      <c r="H86" s="398"/>
      <c r="I86" s="398"/>
      <c r="J86" s="398"/>
      <c r="K86" s="398"/>
      <c r="L86" s="398"/>
      <c r="M86" s="398"/>
      <c r="N86" s="398"/>
      <c r="O86" s="398"/>
      <c r="P86" s="398"/>
      <c r="Q86" s="398"/>
      <c r="R86" s="398"/>
      <c r="S86" s="398"/>
      <c r="T86" s="398"/>
      <c r="U86" s="398"/>
      <c r="V86" s="398"/>
      <c r="W86" s="398"/>
      <c r="X86" s="398"/>
      <c r="Y86" s="398"/>
      <c r="Z86" s="398"/>
      <c r="AA86" s="398"/>
      <c r="AB86" s="398"/>
      <c r="AC86" s="398"/>
      <c r="AD86" s="398"/>
      <c r="AE86" s="398"/>
      <c r="AF86" s="398"/>
      <c r="AG86" s="398"/>
      <c r="AH86" s="398"/>
      <c r="AI86" s="398"/>
      <c r="AJ86" s="398"/>
      <c r="AK86" s="398"/>
      <c r="AL86" s="399"/>
    </row>
    <row r="87" spans="1:38" ht="15" customHeight="1" x14ac:dyDescent="0.25">
      <c r="A87" s="448" t="s">
        <v>52</v>
      </c>
      <c r="B87" s="448"/>
      <c r="C87" s="448"/>
      <c r="D87" s="448" t="s">
        <v>53</v>
      </c>
      <c r="E87" s="448"/>
      <c r="F87" s="448"/>
      <c r="G87" s="448"/>
      <c r="H87" s="448"/>
      <c r="I87" s="448"/>
      <c r="J87" s="448"/>
      <c r="K87" s="448"/>
      <c r="L87" s="448"/>
      <c r="M87" s="448"/>
      <c r="N87" s="448"/>
      <c r="O87" s="448"/>
      <c r="P87" s="448"/>
      <c r="Q87" s="448"/>
      <c r="R87" s="448"/>
      <c r="S87" s="448"/>
      <c r="T87" s="448"/>
      <c r="U87" s="448"/>
      <c r="V87" s="448"/>
      <c r="W87" s="448"/>
      <c r="X87" s="448"/>
      <c r="Y87" s="448"/>
      <c r="Z87" s="448"/>
      <c r="AA87" s="448"/>
      <c r="AB87" s="448"/>
      <c r="AC87" s="448"/>
      <c r="AD87" s="448"/>
      <c r="AE87" s="448"/>
      <c r="AF87" s="448"/>
      <c r="AG87" s="448"/>
      <c r="AH87" s="448"/>
      <c r="AI87" s="448"/>
      <c r="AJ87" s="448"/>
      <c r="AK87" s="448"/>
      <c r="AL87" s="448"/>
    </row>
    <row r="88" spans="1:38" x14ac:dyDescent="0.25">
      <c r="A88" s="449" t="s">
        <v>158</v>
      </c>
      <c r="B88" s="450"/>
      <c r="C88" s="451"/>
      <c r="D88" s="449" t="s">
        <v>55</v>
      </c>
      <c r="E88" s="450"/>
      <c r="F88" s="450"/>
      <c r="G88" s="450"/>
      <c r="H88" s="450"/>
      <c r="I88" s="450"/>
      <c r="J88" s="450"/>
      <c r="K88" s="450"/>
      <c r="L88" s="450"/>
      <c r="M88" s="450"/>
      <c r="N88" s="450"/>
      <c r="O88" s="450"/>
      <c r="P88" s="450"/>
      <c r="Q88" s="450"/>
      <c r="R88" s="450"/>
      <c r="S88" s="450"/>
      <c r="T88" s="450"/>
      <c r="U88" s="450"/>
      <c r="V88" s="450"/>
      <c r="W88" s="450"/>
      <c r="X88" s="450"/>
      <c r="Y88" s="450"/>
      <c r="Z88" s="450"/>
      <c r="AA88" s="450"/>
      <c r="AB88" s="450"/>
      <c r="AC88" s="450"/>
      <c r="AD88" s="450"/>
      <c r="AE88" s="450"/>
      <c r="AF88" s="450"/>
      <c r="AG88" s="450"/>
      <c r="AH88" s="450"/>
      <c r="AI88" s="450"/>
      <c r="AJ88" s="450"/>
      <c r="AK88" s="450"/>
      <c r="AL88" s="451"/>
    </row>
    <row r="89" spans="1:38" x14ac:dyDescent="0.25">
      <c r="A89" s="449" t="s">
        <v>159</v>
      </c>
      <c r="B89" s="450"/>
      <c r="C89" s="451"/>
      <c r="D89" s="449" t="s">
        <v>160</v>
      </c>
      <c r="E89" s="450"/>
      <c r="F89" s="450"/>
      <c r="G89" s="450"/>
      <c r="H89" s="450"/>
      <c r="I89" s="450"/>
      <c r="J89" s="450"/>
      <c r="K89" s="450"/>
      <c r="L89" s="450"/>
      <c r="M89" s="450"/>
      <c r="N89" s="450"/>
      <c r="O89" s="450"/>
      <c r="P89" s="450"/>
      <c r="Q89" s="450"/>
      <c r="R89" s="450"/>
      <c r="S89" s="450"/>
      <c r="T89" s="450"/>
      <c r="U89" s="450"/>
      <c r="V89" s="450"/>
      <c r="W89" s="450"/>
      <c r="X89" s="450"/>
      <c r="Y89" s="450"/>
      <c r="Z89" s="450"/>
      <c r="AA89" s="450"/>
      <c r="AB89" s="450"/>
      <c r="AC89" s="450"/>
      <c r="AD89" s="450"/>
      <c r="AE89" s="450"/>
      <c r="AF89" s="450"/>
      <c r="AG89" s="450"/>
      <c r="AH89" s="450"/>
      <c r="AI89" s="450"/>
      <c r="AJ89" s="450"/>
      <c r="AK89" s="450"/>
      <c r="AL89" s="451"/>
    </row>
    <row r="90" spans="1:38" ht="15" customHeight="1" x14ac:dyDescent="0.25">
      <c r="A90" s="408" t="s">
        <v>161</v>
      </c>
      <c r="B90" s="408"/>
      <c r="C90" s="408"/>
      <c r="D90" s="410" t="s">
        <v>162</v>
      </c>
      <c r="E90" s="411"/>
      <c r="F90" s="411"/>
      <c r="G90" s="411"/>
      <c r="H90" s="411"/>
      <c r="I90" s="411"/>
      <c r="J90" s="411"/>
      <c r="K90" s="411"/>
      <c r="L90" s="411"/>
      <c r="M90" s="411"/>
      <c r="N90" s="411"/>
      <c r="O90" s="411"/>
      <c r="P90" s="411"/>
      <c r="Q90" s="411"/>
      <c r="R90" s="411"/>
      <c r="S90" s="411"/>
      <c r="T90" s="411"/>
      <c r="U90" s="411"/>
      <c r="V90" s="411"/>
      <c r="W90" s="411"/>
      <c r="X90" s="411"/>
      <c r="Y90" s="411"/>
      <c r="Z90" s="411"/>
      <c r="AA90" s="411"/>
      <c r="AB90" s="411"/>
      <c r="AC90" s="411"/>
      <c r="AD90" s="411"/>
      <c r="AE90" s="411"/>
      <c r="AF90" s="411"/>
      <c r="AG90" s="411"/>
      <c r="AH90" s="411"/>
      <c r="AI90" s="411"/>
      <c r="AJ90" s="411"/>
      <c r="AK90" s="411"/>
      <c r="AL90" s="412"/>
    </row>
    <row r="91" spans="1:38" ht="15" customHeight="1" x14ac:dyDescent="0.25">
      <c r="A91" s="408" t="s">
        <v>163</v>
      </c>
      <c r="B91" s="408"/>
      <c r="C91" s="408"/>
      <c r="D91" s="409" t="s">
        <v>63</v>
      </c>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409"/>
      <c r="AF91" s="409"/>
      <c r="AG91" s="409"/>
      <c r="AH91" s="409"/>
      <c r="AI91" s="409"/>
      <c r="AJ91" s="409"/>
      <c r="AK91" s="409"/>
      <c r="AL91" s="409"/>
    </row>
    <row r="92" spans="1:38" ht="15" customHeight="1" x14ac:dyDescent="0.25">
      <c r="A92" s="408" t="s">
        <v>164</v>
      </c>
      <c r="B92" s="408"/>
      <c r="C92" s="408"/>
      <c r="D92" s="409" t="s">
        <v>165</v>
      </c>
      <c r="E92" s="409"/>
      <c r="F92" s="409"/>
      <c r="G92" s="409"/>
      <c r="H92" s="409"/>
      <c r="I92" s="409"/>
      <c r="J92" s="409"/>
      <c r="K92" s="409"/>
      <c r="L92" s="409"/>
      <c r="M92" s="409"/>
      <c r="N92" s="409"/>
      <c r="O92" s="409"/>
      <c r="P92" s="409"/>
      <c r="Q92" s="409"/>
      <c r="R92" s="409"/>
      <c r="S92" s="409"/>
      <c r="T92" s="409"/>
      <c r="U92" s="409"/>
      <c r="V92" s="409"/>
      <c r="W92" s="409"/>
      <c r="X92" s="409"/>
      <c r="Y92" s="409"/>
      <c r="Z92" s="409"/>
      <c r="AA92" s="409"/>
      <c r="AB92" s="409"/>
      <c r="AC92" s="409"/>
      <c r="AD92" s="409"/>
      <c r="AE92" s="409"/>
      <c r="AF92" s="409"/>
      <c r="AG92" s="409"/>
      <c r="AH92" s="409"/>
      <c r="AI92" s="409"/>
      <c r="AJ92" s="409"/>
      <c r="AK92" s="409"/>
      <c r="AL92" s="409"/>
    </row>
    <row r="93" spans="1:38" ht="15" customHeight="1" x14ac:dyDescent="0.25">
      <c r="A93" s="408" t="s">
        <v>166</v>
      </c>
      <c r="B93" s="408"/>
      <c r="C93" s="408"/>
      <c r="D93" s="409" t="s">
        <v>67</v>
      </c>
      <c r="E93" s="409"/>
      <c r="F93" s="409"/>
      <c r="G93" s="409"/>
      <c r="H93" s="409"/>
      <c r="I93" s="409"/>
      <c r="J93" s="409"/>
      <c r="K93" s="409"/>
      <c r="L93" s="409"/>
      <c r="M93" s="409"/>
      <c r="N93" s="409"/>
      <c r="O93" s="409"/>
      <c r="P93" s="409"/>
      <c r="Q93" s="409"/>
      <c r="R93" s="409"/>
      <c r="S93" s="409"/>
      <c r="T93" s="409"/>
      <c r="U93" s="409"/>
      <c r="V93" s="409"/>
      <c r="W93" s="409"/>
      <c r="X93" s="409"/>
      <c r="Y93" s="409"/>
      <c r="Z93" s="409"/>
      <c r="AA93" s="409"/>
      <c r="AB93" s="409"/>
      <c r="AC93" s="409"/>
      <c r="AD93" s="409"/>
      <c r="AE93" s="409"/>
      <c r="AF93" s="409"/>
      <c r="AG93" s="409"/>
      <c r="AH93" s="409"/>
      <c r="AI93" s="409"/>
      <c r="AJ93" s="409"/>
      <c r="AK93" s="409"/>
      <c r="AL93" s="409"/>
    </row>
    <row r="94" spans="1:38" ht="15" customHeight="1" x14ac:dyDescent="0.25">
      <c r="A94" s="408" t="s">
        <v>167</v>
      </c>
      <c r="B94" s="408"/>
      <c r="C94" s="408"/>
      <c r="D94" s="409" t="s">
        <v>69</v>
      </c>
      <c r="E94" s="409"/>
      <c r="F94" s="409"/>
      <c r="G94" s="409"/>
      <c r="H94" s="409"/>
      <c r="I94" s="409"/>
      <c r="J94" s="409"/>
      <c r="K94" s="409"/>
      <c r="L94" s="409"/>
      <c r="M94" s="409"/>
      <c r="N94" s="409"/>
      <c r="O94" s="409"/>
      <c r="P94" s="409"/>
      <c r="Q94" s="409"/>
      <c r="R94" s="409"/>
      <c r="S94" s="409"/>
      <c r="T94" s="409"/>
      <c r="U94" s="409"/>
      <c r="V94" s="409"/>
      <c r="W94" s="409"/>
      <c r="X94" s="409"/>
      <c r="Y94" s="409"/>
      <c r="Z94" s="409"/>
      <c r="AA94" s="409"/>
      <c r="AB94" s="409"/>
      <c r="AC94" s="409"/>
      <c r="AD94" s="409"/>
      <c r="AE94" s="409"/>
      <c r="AF94" s="409"/>
      <c r="AG94" s="409"/>
      <c r="AH94" s="409"/>
      <c r="AI94" s="409"/>
      <c r="AJ94" s="409"/>
      <c r="AK94" s="409"/>
      <c r="AL94" s="409"/>
    </row>
    <row r="95" spans="1:38" ht="15" customHeight="1" x14ac:dyDescent="0.25">
      <c r="A95" s="408" t="s">
        <v>168</v>
      </c>
      <c r="B95" s="408"/>
      <c r="C95" s="408"/>
      <c r="D95" s="409" t="s">
        <v>71</v>
      </c>
      <c r="E95" s="409"/>
      <c r="F95" s="409"/>
      <c r="G95" s="409"/>
      <c r="H95" s="409"/>
      <c r="I95" s="409"/>
      <c r="J95" s="409"/>
      <c r="K95" s="409"/>
      <c r="L95" s="409"/>
      <c r="M95" s="409"/>
      <c r="N95" s="409"/>
      <c r="O95" s="409"/>
      <c r="P95" s="409"/>
      <c r="Q95" s="409"/>
      <c r="R95" s="409"/>
      <c r="S95" s="409"/>
      <c r="T95" s="409"/>
      <c r="U95" s="409"/>
      <c r="V95" s="409"/>
      <c r="W95" s="409"/>
      <c r="X95" s="409"/>
      <c r="Y95" s="409"/>
      <c r="Z95" s="409"/>
      <c r="AA95" s="409"/>
      <c r="AB95" s="409"/>
      <c r="AC95" s="409"/>
      <c r="AD95" s="409"/>
      <c r="AE95" s="409"/>
      <c r="AF95" s="409"/>
      <c r="AG95" s="409"/>
      <c r="AH95" s="409"/>
      <c r="AI95" s="409"/>
      <c r="AJ95" s="409"/>
      <c r="AK95" s="409"/>
      <c r="AL95" s="409"/>
    </row>
    <row r="96" spans="1:38" ht="15" customHeight="1" x14ac:dyDescent="0.25">
      <c r="A96" s="408" t="s">
        <v>169</v>
      </c>
      <c r="B96" s="408"/>
      <c r="C96" s="408"/>
      <c r="D96" s="409" t="s">
        <v>73</v>
      </c>
      <c r="E96" s="409"/>
      <c r="F96" s="409"/>
      <c r="G96" s="409"/>
      <c r="H96" s="409"/>
      <c r="I96" s="409"/>
      <c r="J96" s="409"/>
      <c r="K96" s="409"/>
      <c r="L96" s="409"/>
      <c r="M96" s="409"/>
      <c r="N96" s="409"/>
      <c r="O96" s="409"/>
      <c r="P96" s="409"/>
      <c r="Q96" s="409"/>
      <c r="R96" s="409"/>
      <c r="S96" s="409"/>
      <c r="T96" s="409"/>
      <c r="U96" s="409"/>
      <c r="V96" s="409"/>
      <c r="W96" s="409"/>
      <c r="X96" s="409"/>
      <c r="Y96" s="409"/>
      <c r="Z96" s="409"/>
      <c r="AA96" s="409"/>
      <c r="AB96" s="409"/>
      <c r="AC96" s="409"/>
      <c r="AD96" s="409"/>
      <c r="AE96" s="409"/>
      <c r="AF96" s="409"/>
      <c r="AG96" s="409"/>
      <c r="AH96" s="409"/>
      <c r="AI96" s="409"/>
      <c r="AJ96" s="409"/>
      <c r="AK96" s="409"/>
      <c r="AL96" s="409"/>
    </row>
    <row r="97" spans="1:38" x14ac:dyDescent="0.25">
      <c r="A97" s="408" t="s">
        <v>170</v>
      </c>
      <c r="B97" s="408"/>
      <c r="C97" s="408"/>
      <c r="D97" s="409" t="s">
        <v>75</v>
      </c>
      <c r="E97" s="409"/>
      <c r="F97" s="409"/>
      <c r="G97" s="409"/>
      <c r="H97" s="409"/>
      <c r="I97" s="409"/>
      <c r="J97" s="409"/>
      <c r="K97" s="409"/>
      <c r="L97" s="409"/>
      <c r="M97" s="409"/>
      <c r="N97" s="409"/>
      <c r="O97" s="409"/>
      <c r="P97" s="409"/>
      <c r="Q97" s="409"/>
      <c r="R97" s="409"/>
      <c r="S97" s="409"/>
      <c r="T97" s="409"/>
      <c r="U97" s="409"/>
      <c r="V97" s="409"/>
      <c r="W97" s="409"/>
      <c r="X97" s="409"/>
      <c r="Y97" s="409"/>
      <c r="Z97" s="409"/>
      <c r="AA97" s="409"/>
      <c r="AB97" s="409"/>
      <c r="AC97" s="409"/>
      <c r="AD97" s="409"/>
      <c r="AE97" s="409"/>
      <c r="AF97" s="409"/>
      <c r="AG97" s="409"/>
      <c r="AH97" s="409"/>
      <c r="AI97" s="409"/>
      <c r="AJ97" s="409"/>
      <c r="AK97" s="409"/>
      <c r="AL97" s="409"/>
    </row>
    <row r="98" spans="1:38" x14ac:dyDescent="0.25">
      <c r="A98" s="408" t="s">
        <v>171</v>
      </c>
      <c r="B98" s="408"/>
      <c r="C98" s="408"/>
      <c r="D98" s="410" t="s">
        <v>172</v>
      </c>
      <c r="E98" s="411"/>
      <c r="F98" s="411"/>
      <c r="G98" s="411"/>
      <c r="H98" s="411"/>
      <c r="I98" s="411"/>
      <c r="J98" s="411"/>
      <c r="K98" s="411"/>
      <c r="L98" s="411"/>
      <c r="M98" s="411"/>
      <c r="N98" s="411"/>
      <c r="O98" s="411"/>
      <c r="P98" s="411"/>
      <c r="Q98" s="411"/>
      <c r="R98" s="411"/>
      <c r="S98" s="411"/>
      <c r="T98" s="411"/>
      <c r="U98" s="411"/>
      <c r="V98" s="411"/>
      <c r="W98" s="411"/>
      <c r="X98" s="411"/>
      <c r="Y98" s="411"/>
      <c r="Z98" s="411"/>
      <c r="AA98" s="411"/>
      <c r="AB98" s="411"/>
      <c r="AC98" s="411"/>
      <c r="AD98" s="411"/>
      <c r="AE98" s="411"/>
      <c r="AF98" s="411"/>
      <c r="AG98" s="411"/>
      <c r="AH98" s="411"/>
      <c r="AI98" s="411"/>
      <c r="AJ98" s="411"/>
      <c r="AK98" s="411"/>
      <c r="AL98" s="412"/>
    </row>
    <row r="99" spans="1:38" x14ac:dyDescent="0.25">
      <c r="A99" s="408" t="s">
        <v>173</v>
      </c>
      <c r="B99" s="408"/>
      <c r="C99" s="408"/>
      <c r="D99" s="410" t="s">
        <v>174</v>
      </c>
      <c r="E99" s="411"/>
      <c r="F99" s="411"/>
      <c r="G99" s="411"/>
      <c r="H99" s="411"/>
      <c r="I99" s="411"/>
      <c r="J99" s="411"/>
      <c r="K99" s="411"/>
      <c r="L99" s="411"/>
      <c r="M99" s="411"/>
      <c r="N99" s="411"/>
      <c r="O99" s="411"/>
      <c r="P99" s="411"/>
      <c r="Q99" s="411"/>
      <c r="R99" s="411"/>
      <c r="S99" s="411"/>
      <c r="T99" s="411"/>
      <c r="U99" s="411"/>
      <c r="V99" s="411"/>
      <c r="W99" s="411"/>
      <c r="X99" s="411"/>
      <c r="Y99" s="411"/>
      <c r="Z99" s="411"/>
      <c r="AA99" s="411"/>
      <c r="AB99" s="411"/>
      <c r="AC99" s="411"/>
      <c r="AD99" s="411"/>
      <c r="AE99" s="411"/>
      <c r="AF99" s="411"/>
      <c r="AG99" s="411"/>
      <c r="AH99" s="411"/>
      <c r="AI99" s="411"/>
      <c r="AJ99" s="411"/>
      <c r="AK99" s="411"/>
      <c r="AL99" s="412"/>
    </row>
    <row r="100" spans="1:38" x14ac:dyDescent="0.25">
      <c r="A100" s="408" t="s">
        <v>175</v>
      </c>
      <c r="B100" s="408"/>
      <c r="C100" s="408"/>
      <c r="D100" s="410" t="s">
        <v>176</v>
      </c>
      <c r="E100" s="411"/>
      <c r="F100" s="411"/>
      <c r="G100" s="411"/>
      <c r="H100" s="411"/>
      <c r="I100" s="411"/>
      <c r="J100" s="411"/>
      <c r="K100" s="411"/>
      <c r="L100" s="411"/>
      <c r="M100" s="411"/>
      <c r="N100" s="411"/>
      <c r="O100" s="411"/>
      <c r="P100" s="411"/>
      <c r="Q100" s="411"/>
      <c r="R100" s="411"/>
      <c r="S100" s="411"/>
      <c r="T100" s="411"/>
      <c r="U100" s="411"/>
      <c r="V100" s="411"/>
      <c r="W100" s="411"/>
      <c r="X100" s="411"/>
      <c r="Y100" s="411"/>
      <c r="Z100" s="411"/>
      <c r="AA100" s="411"/>
      <c r="AB100" s="411"/>
      <c r="AC100" s="411"/>
      <c r="AD100" s="411"/>
      <c r="AE100" s="411"/>
      <c r="AF100" s="411"/>
      <c r="AG100" s="411"/>
      <c r="AH100" s="411"/>
      <c r="AI100" s="411"/>
      <c r="AJ100" s="411"/>
      <c r="AK100" s="411"/>
      <c r="AL100" s="412"/>
    </row>
    <row r="101" spans="1:38" x14ac:dyDescent="0.25">
      <c r="A101" s="408" t="s">
        <v>177</v>
      </c>
      <c r="B101" s="408"/>
      <c r="C101" s="408"/>
      <c r="D101" s="410" t="s">
        <v>178</v>
      </c>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1"/>
      <c r="AK101" s="411"/>
      <c r="AL101" s="412"/>
    </row>
    <row r="102" spans="1:38" ht="45" customHeight="1" x14ac:dyDescent="0.25">
      <c r="A102" s="36" t="s">
        <v>179</v>
      </c>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row>
    <row r="103" spans="1:38" ht="15" customHeight="1" x14ac:dyDescent="0.25">
      <c r="A103" s="448" t="s">
        <v>39</v>
      </c>
      <c r="B103" s="448"/>
      <c r="C103" s="448"/>
      <c r="D103" s="448" t="s">
        <v>48</v>
      </c>
      <c r="E103" s="448"/>
      <c r="F103" s="448"/>
      <c r="G103" s="448"/>
      <c r="H103" s="448"/>
      <c r="I103" s="448"/>
      <c r="J103" s="448"/>
      <c r="K103" s="448"/>
      <c r="L103" s="448"/>
      <c r="M103" s="448"/>
      <c r="N103" s="448"/>
      <c r="O103" s="448"/>
      <c r="P103" s="448"/>
      <c r="Q103" s="448"/>
      <c r="R103" s="448"/>
      <c r="S103" s="448"/>
      <c r="T103" s="448"/>
      <c r="U103" s="448"/>
      <c r="V103" s="448"/>
      <c r="W103" s="448"/>
      <c r="X103" s="448"/>
      <c r="Y103" s="448"/>
      <c r="Z103" s="448"/>
      <c r="AA103" s="448"/>
      <c r="AB103" s="448"/>
      <c r="AC103" s="448"/>
      <c r="AD103" s="448"/>
      <c r="AE103" s="448"/>
      <c r="AF103" s="448"/>
      <c r="AG103" s="448"/>
      <c r="AH103" s="448"/>
      <c r="AI103" s="448"/>
      <c r="AJ103" s="448"/>
      <c r="AK103" s="448"/>
      <c r="AL103" s="448"/>
    </row>
    <row r="104" spans="1:38" ht="15" customHeight="1" x14ac:dyDescent="0.25">
      <c r="A104" s="448" t="s">
        <v>41</v>
      </c>
      <c r="B104" s="448"/>
      <c r="C104" s="448"/>
      <c r="D104" s="448" t="s">
        <v>49</v>
      </c>
      <c r="E104" s="448"/>
      <c r="F104" s="448"/>
      <c r="G104" s="448"/>
      <c r="H104" s="448"/>
      <c r="I104" s="448"/>
      <c r="J104" s="448"/>
      <c r="K104" s="448"/>
      <c r="L104" s="448"/>
      <c r="M104" s="448"/>
      <c r="N104" s="448"/>
      <c r="O104" s="448"/>
      <c r="P104" s="448"/>
      <c r="Q104" s="448"/>
      <c r="R104" s="448"/>
      <c r="S104" s="448"/>
      <c r="T104" s="448"/>
      <c r="U104" s="448"/>
      <c r="V104" s="448"/>
      <c r="W104" s="448"/>
      <c r="X104" s="448"/>
      <c r="Y104" s="448"/>
      <c r="Z104" s="448"/>
      <c r="AA104" s="448"/>
      <c r="AB104" s="448"/>
      <c r="AC104" s="448"/>
      <c r="AD104" s="448"/>
      <c r="AE104" s="448"/>
      <c r="AF104" s="448"/>
      <c r="AG104" s="448"/>
      <c r="AH104" s="448"/>
      <c r="AI104" s="448"/>
      <c r="AJ104" s="448"/>
      <c r="AK104" s="448"/>
      <c r="AL104" s="448"/>
    </row>
    <row r="105" spans="1:38" ht="15" customHeight="1" x14ac:dyDescent="0.25">
      <c r="A105" s="397" t="s">
        <v>50</v>
      </c>
      <c r="B105" s="398"/>
      <c r="C105" s="399"/>
      <c r="D105" s="397" t="s">
        <v>51</v>
      </c>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9"/>
    </row>
    <row r="106" spans="1:38" ht="15" customHeight="1" x14ac:dyDescent="0.25">
      <c r="A106" s="448" t="s">
        <v>52</v>
      </c>
      <c r="B106" s="448"/>
      <c r="C106" s="448"/>
      <c r="D106" s="448" t="s">
        <v>53</v>
      </c>
      <c r="E106" s="448"/>
      <c r="F106" s="448"/>
      <c r="G106" s="448"/>
      <c r="H106" s="448"/>
      <c r="I106" s="448"/>
      <c r="J106" s="448"/>
      <c r="K106" s="448"/>
      <c r="L106" s="448"/>
      <c r="M106" s="448"/>
      <c r="N106" s="448"/>
      <c r="O106" s="448"/>
      <c r="P106" s="448"/>
      <c r="Q106" s="448"/>
      <c r="R106" s="448"/>
      <c r="S106" s="448"/>
      <c r="T106" s="448"/>
      <c r="U106" s="448"/>
      <c r="V106" s="448"/>
      <c r="W106" s="448"/>
      <c r="X106" s="448"/>
      <c r="Y106" s="448"/>
      <c r="Z106" s="448"/>
      <c r="AA106" s="448"/>
      <c r="AB106" s="448"/>
      <c r="AC106" s="448"/>
      <c r="AD106" s="448"/>
      <c r="AE106" s="448"/>
      <c r="AF106" s="448"/>
      <c r="AG106" s="448"/>
      <c r="AH106" s="448"/>
      <c r="AI106" s="448"/>
      <c r="AJ106" s="448"/>
      <c r="AK106" s="448"/>
      <c r="AL106" s="448"/>
    </row>
    <row r="107" spans="1:38" x14ac:dyDescent="0.25">
      <c r="A107" s="449" t="s">
        <v>158</v>
      </c>
      <c r="B107" s="450"/>
      <c r="C107" s="451"/>
      <c r="D107" s="449" t="s">
        <v>55</v>
      </c>
      <c r="E107" s="450"/>
      <c r="F107" s="450"/>
      <c r="G107" s="450"/>
      <c r="H107" s="450"/>
      <c r="I107" s="450"/>
      <c r="J107" s="450"/>
      <c r="K107" s="450"/>
      <c r="L107" s="450"/>
      <c r="M107" s="450"/>
      <c r="N107" s="450"/>
      <c r="O107" s="450"/>
      <c r="P107" s="450"/>
      <c r="Q107" s="450"/>
      <c r="R107" s="450"/>
      <c r="S107" s="450"/>
      <c r="T107" s="450"/>
      <c r="U107" s="450"/>
      <c r="V107" s="450"/>
      <c r="W107" s="450"/>
      <c r="X107" s="450"/>
      <c r="Y107" s="450"/>
      <c r="Z107" s="450"/>
      <c r="AA107" s="450"/>
      <c r="AB107" s="450"/>
      <c r="AC107" s="450"/>
      <c r="AD107" s="450"/>
      <c r="AE107" s="450"/>
      <c r="AF107" s="450"/>
      <c r="AG107" s="450"/>
      <c r="AH107" s="450"/>
      <c r="AI107" s="450"/>
      <c r="AJ107" s="450"/>
      <c r="AK107" s="450"/>
      <c r="AL107" s="451"/>
    </row>
    <row r="108" spans="1:38" x14ac:dyDescent="0.25">
      <c r="A108" s="449" t="s">
        <v>159</v>
      </c>
      <c r="B108" s="450"/>
      <c r="C108" s="451"/>
      <c r="D108" s="449" t="s">
        <v>160</v>
      </c>
      <c r="E108" s="450"/>
      <c r="F108" s="450"/>
      <c r="G108" s="450"/>
      <c r="H108" s="450"/>
      <c r="I108" s="450"/>
      <c r="J108" s="450"/>
      <c r="K108" s="450"/>
      <c r="L108" s="450"/>
      <c r="M108" s="450"/>
      <c r="N108" s="450"/>
      <c r="O108" s="450"/>
      <c r="P108" s="450"/>
      <c r="Q108" s="450"/>
      <c r="R108" s="450"/>
      <c r="S108" s="450"/>
      <c r="T108" s="450"/>
      <c r="U108" s="450"/>
      <c r="V108" s="450"/>
      <c r="W108" s="450"/>
      <c r="X108" s="450"/>
      <c r="Y108" s="450"/>
      <c r="Z108" s="450"/>
      <c r="AA108" s="450"/>
      <c r="AB108" s="450"/>
      <c r="AC108" s="450"/>
      <c r="AD108" s="450"/>
      <c r="AE108" s="450"/>
      <c r="AF108" s="450"/>
      <c r="AG108" s="450"/>
      <c r="AH108" s="450"/>
      <c r="AI108" s="450"/>
      <c r="AJ108" s="450"/>
      <c r="AK108" s="450"/>
      <c r="AL108" s="451"/>
    </row>
    <row r="109" spans="1:38" x14ac:dyDescent="0.25">
      <c r="A109" s="470" t="s">
        <v>161</v>
      </c>
      <c r="B109" s="470"/>
      <c r="C109" s="470"/>
      <c r="D109" s="470" t="s">
        <v>180</v>
      </c>
      <c r="E109" s="470"/>
      <c r="F109" s="470"/>
      <c r="G109" s="470"/>
      <c r="H109" s="470"/>
      <c r="I109" s="470"/>
      <c r="J109" s="470"/>
      <c r="K109" s="470"/>
      <c r="L109" s="470"/>
      <c r="M109" s="470"/>
      <c r="N109" s="470"/>
      <c r="O109" s="470"/>
      <c r="P109" s="470"/>
      <c r="Q109" s="470"/>
      <c r="R109" s="470"/>
      <c r="S109" s="470"/>
      <c r="T109" s="470"/>
      <c r="U109" s="470"/>
      <c r="V109" s="470"/>
      <c r="W109" s="470"/>
      <c r="X109" s="470"/>
      <c r="Y109" s="470"/>
      <c r="Z109" s="470"/>
      <c r="AA109" s="470"/>
      <c r="AB109" s="470"/>
      <c r="AC109" s="470"/>
      <c r="AD109" s="470"/>
      <c r="AE109" s="470"/>
      <c r="AF109" s="470"/>
      <c r="AG109" s="470"/>
      <c r="AH109" s="470"/>
      <c r="AI109" s="470"/>
      <c r="AJ109" s="470"/>
      <c r="AK109" s="470"/>
      <c r="AL109" s="470"/>
    </row>
    <row r="110" spans="1:38" x14ac:dyDescent="0.25">
      <c r="A110" s="470" t="s">
        <v>163</v>
      </c>
      <c r="B110" s="470"/>
      <c r="C110" s="470"/>
      <c r="D110" s="470" t="s">
        <v>181</v>
      </c>
      <c r="E110" s="470"/>
      <c r="F110" s="470"/>
      <c r="G110" s="470"/>
      <c r="H110" s="470"/>
      <c r="I110" s="470"/>
      <c r="J110" s="470"/>
      <c r="K110" s="470"/>
      <c r="L110" s="470"/>
      <c r="M110" s="470"/>
      <c r="N110" s="470"/>
      <c r="O110" s="470"/>
      <c r="P110" s="470"/>
      <c r="Q110" s="470"/>
      <c r="R110" s="470"/>
      <c r="S110" s="470"/>
      <c r="T110" s="470"/>
      <c r="U110" s="470"/>
      <c r="V110" s="470"/>
      <c r="W110" s="470"/>
      <c r="X110" s="470"/>
      <c r="Y110" s="470"/>
      <c r="Z110" s="470"/>
      <c r="AA110" s="470"/>
      <c r="AB110" s="470"/>
      <c r="AC110" s="470"/>
      <c r="AD110" s="470"/>
      <c r="AE110" s="470"/>
      <c r="AF110" s="470"/>
      <c r="AG110" s="470"/>
      <c r="AH110" s="470"/>
      <c r="AI110" s="470"/>
      <c r="AJ110" s="470"/>
      <c r="AK110" s="470"/>
      <c r="AL110" s="470"/>
    </row>
    <row r="111" spans="1:38" x14ac:dyDescent="0.25">
      <c r="A111" s="470" t="s">
        <v>164</v>
      </c>
      <c r="B111" s="470"/>
      <c r="C111" s="470"/>
      <c r="D111" s="470" t="s">
        <v>182</v>
      </c>
      <c r="E111" s="470"/>
      <c r="F111" s="470"/>
      <c r="G111" s="470"/>
      <c r="H111" s="470"/>
      <c r="I111" s="470"/>
      <c r="J111" s="470"/>
      <c r="K111" s="470"/>
      <c r="L111" s="470"/>
      <c r="M111" s="470"/>
      <c r="N111" s="470"/>
      <c r="O111" s="470"/>
      <c r="P111" s="470"/>
      <c r="Q111" s="470"/>
      <c r="R111" s="470"/>
      <c r="S111" s="470"/>
      <c r="T111" s="470"/>
      <c r="U111" s="470"/>
      <c r="V111" s="470"/>
      <c r="W111" s="470"/>
      <c r="X111" s="470"/>
      <c r="Y111" s="470"/>
      <c r="Z111" s="470"/>
      <c r="AA111" s="470"/>
      <c r="AB111" s="470"/>
      <c r="AC111" s="470"/>
      <c r="AD111" s="470"/>
      <c r="AE111" s="470"/>
      <c r="AF111" s="470"/>
      <c r="AG111" s="470"/>
      <c r="AH111" s="470"/>
      <c r="AI111" s="470"/>
      <c r="AJ111" s="470"/>
      <c r="AK111" s="470"/>
      <c r="AL111" s="470"/>
    </row>
    <row r="112" spans="1:38" x14ac:dyDescent="0.25">
      <c r="A112" s="470" t="s">
        <v>166</v>
      </c>
      <c r="B112" s="470"/>
      <c r="C112" s="470"/>
      <c r="D112" s="470" t="s">
        <v>183</v>
      </c>
      <c r="E112" s="470"/>
      <c r="F112" s="470"/>
      <c r="G112" s="470"/>
      <c r="H112" s="470"/>
      <c r="I112" s="470"/>
      <c r="J112" s="470"/>
      <c r="K112" s="470"/>
      <c r="L112" s="470"/>
      <c r="M112" s="470"/>
      <c r="N112" s="470"/>
      <c r="O112" s="470"/>
      <c r="P112" s="470"/>
      <c r="Q112" s="470"/>
      <c r="R112" s="470"/>
      <c r="S112" s="470"/>
      <c r="T112" s="470"/>
      <c r="U112" s="470"/>
      <c r="V112" s="470"/>
      <c r="W112" s="470"/>
      <c r="X112" s="470"/>
      <c r="Y112" s="470"/>
      <c r="Z112" s="470"/>
      <c r="AA112" s="470"/>
      <c r="AB112" s="470"/>
      <c r="AC112" s="470"/>
      <c r="AD112" s="470"/>
      <c r="AE112" s="470"/>
      <c r="AF112" s="470"/>
      <c r="AG112" s="470"/>
      <c r="AH112" s="470"/>
      <c r="AI112" s="470"/>
      <c r="AJ112" s="470"/>
      <c r="AK112" s="470"/>
      <c r="AL112" s="470"/>
    </row>
    <row r="113" spans="1:38" x14ac:dyDescent="0.25">
      <c r="A113" s="470" t="s">
        <v>167</v>
      </c>
      <c r="B113" s="470"/>
      <c r="C113" s="470"/>
      <c r="D113" s="470" t="s">
        <v>184</v>
      </c>
      <c r="E113" s="470"/>
      <c r="F113" s="470"/>
      <c r="G113" s="470"/>
      <c r="H113" s="470"/>
      <c r="I113" s="470"/>
      <c r="J113" s="470"/>
      <c r="K113" s="470"/>
      <c r="L113" s="470"/>
      <c r="M113" s="470"/>
      <c r="N113" s="470"/>
      <c r="O113" s="470"/>
      <c r="P113" s="470"/>
      <c r="Q113" s="470"/>
      <c r="R113" s="470"/>
      <c r="S113" s="470"/>
      <c r="T113" s="470"/>
      <c r="U113" s="470"/>
      <c r="V113" s="470"/>
      <c r="W113" s="470"/>
      <c r="X113" s="470"/>
      <c r="Y113" s="470"/>
      <c r="Z113" s="470"/>
      <c r="AA113" s="470"/>
      <c r="AB113" s="470"/>
      <c r="AC113" s="470"/>
      <c r="AD113" s="470"/>
      <c r="AE113" s="470"/>
      <c r="AF113" s="470"/>
      <c r="AG113" s="470"/>
      <c r="AH113" s="470"/>
      <c r="AI113" s="470"/>
      <c r="AJ113" s="470"/>
      <c r="AK113" s="470"/>
      <c r="AL113" s="470"/>
    </row>
    <row r="114" spans="1:38" x14ac:dyDescent="0.25">
      <c r="A114" s="470" t="s">
        <v>168</v>
      </c>
      <c r="B114" s="470"/>
      <c r="C114" s="470"/>
      <c r="D114" s="470" t="s">
        <v>185</v>
      </c>
      <c r="E114" s="470"/>
      <c r="F114" s="470"/>
      <c r="G114" s="470"/>
      <c r="H114" s="470"/>
      <c r="I114" s="470"/>
      <c r="J114" s="470"/>
      <c r="K114" s="470"/>
      <c r="L114" s="470"/>
      <c r="M114" s="470"/>
      <c r="N114" s="470"/>
      <c r="O114" s="470"/>
      <c r="P114" s="470"/>
      <c r="Q114" s="470"/>
      <c r="R114" s="470"/>
      <c r="S114" s="470"/>
      <c r="T114" s="470"/>
      <c r="U114" s="470"/>
      <c r="V114" s="470"/>
      <c r="W114" s="470"/>
      <c r="X114" s="470"/>
      <c r="Y114" s="470"/>
      <c r="Z114" s="470"/>
      <c r="AA114" s="470"/>
      <c r="AB114" s="470"/>
      <c r="AC114" s="470"/>
      <c r="AD114" s="470"/>
      <c r="AE114" s="470"/>
      <c r="AF114" s="470"/>
      <c r="AG114" s="470"/>
      <c r="AH114" s="470"/>
      <c r="AI114" s="470"/>
      <c r="AJ114" s="470"/>
      <c r="AK114" s="470"/>
      <c r="AL114" s="470"/>
    </row>
    <row r="115" spans="1:38" ht="25.15" customHeight="1" x14ac:dyDescent="0.25">
      <c r="A115" s="470" t="s">
        <v>169</v>
      </c>
      <c r="B115" s="470"/>
      <c r="C115" s="470"/>
      <c r="D115" s="470" t="s">
        <v>186</v>
      </c>
      <c r="E115" s="470"/>
      <c r="F115" s="470"/>
      <c r="G115" s="470"/>
      <c r="H115" s="470"/>
      <c r="I115" s="470"/>
      <c r="J115" s="470"/>
      <c r="K115" s="470"/>
      <c r="L115" s="470"/>
      <c r="M115" s="470"/>
      <c r="N115" s="470"/>
      <c r="O115" s="470"/>
      <c r="P115" s="470"/>
      <c r="Q115" s="470"/>
      <c r="R115" s="470"/>
      <c r="S115" s="470"/>
      <c r="T115" s="470"/>
      <c r="U115" s="470"/>
      <c r="V115" s="470"/>
      <c r="W115" s="470"/>
      <c r="X115" s="470"/>
      <c r="Y115" s="470"/>
      <c r="Z115" s="470"/>
      <c r="AA115" s="470"/>
      <c r="AB115" s="470"/>
      <c r="AC115" s="470"/>
      <c r="AD115" s="470"/>
      <c r="AE115" s="470"/>
      <c r="AF115" s="470"/>
      <c r="AG115" s="470"/>
      <c r="AH115" s="470"/>
      <c r="AI115" s="470"/>
      <c r="AJ115" s="470"/>
      <c r="AK115" s="470"/>
      <c r="AL115" s="470"/>
    </row>
    <row r="116" spans="1:38" ht="45" customHeight="1" x14ac:dyDescent="0.25">
      <c r="A116" s="69" t="s">
        <v>187</v>
      </c>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1"/>
    </row>
    <row r="117" spans="1:38" ht="15" customHeight="1" x14ac:dyDescent="0.25">
      <c r="A117" s="448" t="s">
        <v>39</v>
      </c>
      <c r="B117" s="448"/>
      <c r="C117" s="448"/>
      <c r="D117" s="448" t="s">
        <v>48</v>
      </c>
      <c r="E117" s="448"/>
      <c r="F117" s="448"/>
      <c r="G117" s="448"/>
      <c r="H117" s="448"/>
      <c r="I117" s="448"/>
      <c r="J117" s="448"/>
      <c r="K117" s="448"/>
      <c r="L117" s="448"/>
      <c r="M117" s="448"/>
      <c r="N117" s="448"/>
      <c r="O117" s="448"/>
      <c r="P117" s="448"/>
      <c r="Q117" s="448"/>
      <c r="R117" s="448"/>
      <c r="S117" s="448"/>
      <c r="T117" s="448"/>
      <c r="U117" s="448"/>
      <c r="V117" s="448"/>
      <c r="W117" s="448"/>
      <c r="X117" s="448"/>
      <c r="Y117" s="448"/>
      <c r="Z117" s="448"/>
      <c r="AA117" s="448"/>
      <c r="AB117" s="448"/>
      <c r="AC117" s="448"/>
      <c r="AD117" s="448"/>
      <c r="AE117" s="448"/>
      <c r="AF117" s="448"/>
      <c r="AG117" s="448"/>
      <c r="AH117" s="448"/>
      <c r="AI117" s="448"/>
      <c r="AJ117" s="448"/>
      <c r="AK117" s="448"/>
      <c r="AL117" s="448"/>
    </row>
    <row r="118" spans="1:38" ht="15" customHeight="1" x14ac:dyDescent="0.25">
      <c r="A118" s="448" t="s">
        <v>41</v>
      </c>
      <c r="B118" s="448"/>
      <c r="C118" s="448"/>
      <c r="D118" s="448" t="s">
        <v>49</v>
      </c>
      <c r="E118" s="448"/>
      <c r="F118" s="448"/>
      <c r="G118" s="448"/>
      <c r="H118" s="448"/>
      <c r="I118" s="448"/>
      <c r="J118" s="448"/>
      <c r="K118" s="448"/>
      <c r="L118" s="448"/>
      <c r="M118" s="448"/>
      <c r="N118" s="448"/>
      <c r="O118" s="448"/>
      <c r="P118" s="448"/>
      <c r="Q118" s="448"/>
      <c r="R118" s="448"/>
      <c r="S118" s="448"/>
      <c r="T118" s="448"/>
      <c r="U118" s="448"/>
      <c r="V118" s="448"/>
      <c r="W118" s="448"/>
      <c r="X118" s="448"/>
      <c r="Y118" s="448"/>
      <c r="Z118" s="448"/>
      <c r="AA118" s="448"/>
      <c r="AB118" s="448"/>
      <c r="AC118" s="448"/>
      <c r="AD118" s="448"/>
      <c r="AE118" s="448"/>
      <c r="AF118" s="448"/>
      <c r="AG118" s="448"/>
      <c r="AH118" s="448"/>
      <c r="AI118" s="448"/>
      <c r="AJ118" s="448"/>
      <c r="AK118" s="448"/>
      <c r="AL118" s="448"/>
    </row>
    <row r="119" spans="1:38" ht="15" customHeight="1" x14ac:dyDescent="0.25">
      <c r="A119" s="397" t="s">
        <v>50</v>
      </c>
      <c r="B119" s="398"/>
      <c r="C119" s="399"/>
      <c r="D119" s="397" t="s">
        <v>51</v>
      </c>
      <c r="E119" s="398"/>
      <c r="F119" s="398"/>
      <c r="G119" s="398"/>
      <c r="H119" s="398"/>
      <c r="I119" s="398"/>
      <c r="J119" s="398"/>
      <c r="K119" s="398"/>
      <c r="L119" s="398"/>
      <c r="M119" s="398"/>
      <c r="N119" s="398"/>
      <c r="O119" s="398"/>
      <c r="P119" s="398"/>
      <c r="Q119" s="398"/>
      <c r="R119" s="398"/>
      <c r="S119" s="398"/>
      <c r="T119" s="398"/>
      <c r="U119" s="398"/>
      <c r="V119" s="398"/>
      <c r="W119" s="398"/>
      <c r="X119" s="398"/>
      <c r="Y119" s="398"/>
      <c r="Z119" s="398"/>
      <c r="AA119" s="398"/>
      <c r="AB119" s="398"/>
      <c r="AC119" s="398"/>
      <c r="AD119" s="398"/>
      <c r="AE119" s="398"/>
      <c r="AF119" s="398"/>
      <c r="AG119" s="398"/>
      <c r="AH119" s="398"/>
      <c r="AI119" s="398"/>
      <c r="AJ119" s="398"/>
      <c r="AK119" s="398"/>
      <c r="AL119" s="399"/>
    </row>
    <row r="120" spans="1:38" ht="15" customHeight="1" x14ac:dyDescent="0.25">
      <c r="A120" s="448" t="s">
        <v>52</v>
      </c>
      <c r="B120" s="448"/>
      <c r="C120" s="448"/>
      <c r="D120" s="448" t="s">
        <v>53</v>
      </c>
      <c r="E120" s="448"/>
      <c r="F120" s="448"/>
      <c r="G120" s="448"/>
      <c r="H120" s="448"/>
      <c r="I120" s="448"/>
      <c r="J120" s="448"/>
      <c r="K120" s="448"/>
      <c r="L120" s="448"/>
      <c r="M120" s="448"/>
      <c r="N120" s="448"/>
      <c r="O120" s="448"/>
      <c r="P120" s="448"/>
      <c r="Q120" s="448"/>
      <c r="R120" s="448"/>
      <c r="S120" s="448"/>
      <c r="T120" s="448"/>
      <c r="U120" s="448"/>
      <c r="V120" s="448"/>
      <c r="W120" s="448"/>
      <c r="X120" s="448"/>
      <c r="Y120" s="448"/>
      <c r="Z120" s="448"/>
      <c r="AA120" s="448"/>
      <c r="AB120" s="448"/>
      <c r="AC120" s="448"/>
      <c r="AD120" s="448"/>
      <c r="AE120" s="448"/>
      <c r="AF120" s="448"/>
      <c r="AG120" s="448"/>
      <c r="AH120" s="448"/>
      <c r="AI120" s="448"/>
      <c r="AJ120" s="448"/>
      <c r="AK120" s="448"/>
      <c r="AL120" s="448"/>
    </row>
    <row r="121" spans="1:38" ht="15" customHeight="1" x14ac:dyDescent="0.25">
      <c r="A121" s="449" t="s">
        <v>158</v>
      </c>
      <c r="B121" s="450"/>
      <c r="C121" s="451"/>
      <c r="D121" s="449" t="s">
        <v>55</v>
      </c>
      <c r="E121" s="450"/>
      <c r="F121" s="450"/>
      <c r="G121" s="450"/>
      <c r="H121" s="450"/>
      <c r="I121" s="450"/>
      <c r="J121" s="450"/>
      <c r="K121" s="450"/>
      <c r="L121" s="450"/>
      <c r="M121" s="450"/>
      <c r="N121" s="450"/>
      <c r="O121" s="450"/>
      <c r="P121" s="450"/>
      <c r="Q121" s="450"/>
      <c r="R121" s="450"/>
      <c r="S121" s="450"/>
      <c r="T121" s="450"/>
      <c r="U121" s="450"/>
      <c r="V121" s="450"/>
      <c r="W121" s="450"/>
      <c r="X121" s="450"/>
      <c r="Y121" s="450"/>
      <c r="Z121" s="450"/>
      <c r="AA121" s="450"/>
      <c r="AB121" s="450"/>
      <c r="AC121" s="450"/>
      <c r="AD121" s="450"/>
      <c r="AE121" s="450"/>
      <c r="AF121" s="450"/>
      <c r="AG121" s="450"/>
      <c r="AH121" s="450"/>
      <c r="AI121" s="450"/>
      <c r="AJ121" s="450"/>
      <c r="AK121" s="450"/>
      <c r="AL121" s="451"/>
    </row>
    <row r="122" spans="1:38" ht="30" customHeight="1" x14ac:dyDescent="0.25">
      <c r="A122" s="471" t="s">
        <v>56</v>
      </c>
      <c r="B122" s="472"/>
      <c r="C122" s="473"/>
      <c r="D122" s="474" t="s">
        <v>188</v>
      </c>
      <c r="E122" s="475"/>
      <c r="F122" s="475"/>
      <c r="G122" s="475"/>
      <c r="H122" s="475"/>
      <c r="I122" s="475"/>
      <c r="J122" s="475"/>
      <c r="K122" s="475"/>
      <c r="L122" s="475"/>
      <c r="M122" s="475"/>
      <c r="N122" s="475"/>
      <c r="O122" s="475"/>
      <c r="P122" s="475"/>
      <c r="Q122" s="475"/>
      <c r="R122" s="475"/>
      <c r="S122" s="475"/>
      <c r="T122" s="475"/>
      <c r="U122" s="475"/>
      <c r="V122" s="475"/>
      <c r="W122" s="475"/>
      <c r="X122" s="475"/>
      <c r="Y122" s="475"/>
      <c r="Z122" s="475"/>
      <c r="AA122" s="475"/>
      <c r="AB122" s="475"/>
      <c r="AC122" s="475"/>
      <c r="AD122" s="475"/>
      <c r="AE122" s="475"/>
      <c r="AF122" s="475"/>
      <c r="AG122" s="475"/>
      <c r="AH122" s="475"/>
      <c r="AI122" s="475"/>
      <c r="AJ122" s="475"/>
      <c r="AK122" s="475"/>
      <c r="AL122" s="476"/>
    </row>
    <row r="123" spans="1:38" x14ac:dyDescent="0.25">
      <c r="A123" s="470" t="s">
        <v>189</v>
      </c>
      <c r="B123" s="470"/>
      <c r="C123" s="470"/>
      <c r="D123" s="470" t="s">
        <v>190</v>
      </c>
      <c r="E123" s="470"/>
      <c r="F123" s="470"/>
      <c r="G123" s="470"/>
      <c r="H123" s="470"/>
      <c r="I123" s="470"/>
      <c r="J123" s="470"/>
      <c r="K123" s="470"/>
      <c r="L123" s="470"/>
      <c r="M123" s="470"/>
      <c r="N123" s="470"/>
      <c r="O123" s="470"/>
      <c r="P123" s="470"/>
      <c r="Q123" s="470"/>
      <c r="R123" s="470"/>
      <c r="S123" s="470"/>
      <c r="T123" s="470"/>
      <c r="U123" s="470"/>
      <c r="V123" s="470"/>
      <c r="W123" s="470"/>
      <c r="X123" s="470"/>
      <c r="Y123" s="470"/>
      <c r="Z123" s="470"/>
      <c r="AA123" s="470"/>
      <c r="AB123" s="470"/>
      <c r="AC123" s="470"/>
      <c r="AD123" s="470"/>
      <c r="AE123" s="470"/>
      <c r="AF123" s="470"/>
      <c r="AG123" s="470"/>
      <c r="AH123" s="470"/>
      <c r="AI123" s="470"/>
      <c r="AJ123" s="470"/>
      <c r="AK123" s="470"/>
      <c r="AL123" s="470"/>
    </row>
    <row r="124" spans="1:38" x14ac:dyDescent="0.25">
      <c r="A124" s="470" t="s">
        <v>191</v>
      </c>
      <c r="B124" s="470"/>
      <c r="C124" s="470"/>
      <c r="D124" s="470" t="s">
        <v>192</v>
      </c>
      <c r="E124" s="470"/>
      <c r="F124" s="470"/>
      <c r="G124" s="470"/>
      <c r="H124" s="470"/>
      <c r="I124" s="470"/>
      <c r="J124" s="470"/>
      <c r="K124" s="470"/>
      <c r="L124" s="470"/>
      <c r="M124" s="470"/>
      <c r="N124" s="470"/>
      <c r="O124" s="470"/>
      <c r="P124" s="470"/>
      <c r="Q124" s="470"/>
      <c r="R124" s="470"/>
      <c r="S124" s="470"/>
      <c r="T124" s="470"/>
      <c r="U124" s="470"/>
      <c r="V124" s="470"/>
      <c r="W124" s="470"/>
      <c r="X124" s="470"/>
      <c r="Y124" s="470"/>
      <c r="Z124" s="470"/>
      <c r="AA124" s="470"/>
      <c r="AB124" s="470"/>
      <c r="AC124" s="470"/>
      <c r="AD124" s="470"/>
      <c r="AE124" s="470"/>
      <c r="AF124" s="470"/>
      <c r="AG124" s="470"/>
      <c r="AH124" s="470"/>
      <c r="AI124" s="470"/>
      <c r="AJ124" s="470"/>
      <c r="AK124" s="470"/>
      <c r="AL124" s="470"/>
    </row>
    <row r="125" spans="1:38" x14ac:dyDescent="0.25">
      <c r="A125" s="470" t="s">
        <v>193</v>
      </c>
      <c r="B125" s="470"/>
      <c r="C125" s="470"/>
      <c r="D125" s="470" t="s">
        <v>194</v>
      </c>
      <c r="E125" s="470"/>
      <c r="F125" s="470"/>
      <c r="G125" s="470"/>
      <c r="H125" s="470"/>
      <c r="I125" s="470"/>
      <c r="J125" s="470"/>
      <c r="K125" s="470"/>
      <c r="L125" s="470"/>
      <c r="M125" s="470"/>
      <c r="N125" s="470"/>
      <c r="O125" s="470"/>
      <c r="P125" s="470"/>
      <c r="Q125" s="470"/>
      <c r="R125" s="470"/>
      <c r="S125" s="470"/>
      <c r="T125" s="470"/>
      <c r="U125" s="470"/>
      <c r="V125" s="470"/>
      <c r="W125" s="470"/>
      <c r="X125" s="470"/>
      <c r="Y125" s="470"/>
      <c r="Z125" s="470"/>
      <c r="AA125" s="470"/>
      <c r="AB125" s="470"/>
      <c r="AC125" s="470"/>
      <c r="AD125" s="470"/>
      <c r="AE125" s="470"/>
      <c r="AF125" s="470"/>
      <c r="AG125" s="470"/>
      <c r="AH125" s="470"/>
      <c r="AI125" s="470"/>
      <c r="AJ125" s="470"/>
      <c r="AK125" s="470"/>
      <c r="AL125" s="470"/>
    </row>
    <row r="126" spans="1:38" x14ac:dyDescent="0.25">
      <c r="A126" s="470" t="s">
        <v>195</v>
      </c>
      <c r="B126" s="470"/>
      <c r="C126" s="470"/>
      <c r="D126" s="470" t="s">
        <v>196</v>
      </c>
      <c r="E126" s="470"/>
      <c r="F126" s="470"/>
      <c r="G126" s="470"/>
      <c r="H126" s="470"/>
      <c r="I126" s="470"/>
      <c r="J126" s="470"/>
      <c r="K126" s="470"/>
      <c r="L126" s="470"/>
      <c r="M126" s="470"/>
      <c r="N126" s="470"/>
      <c r="O126" s="470"/>
      <c r="P126" s="470"/>
      <c r="Q126" s="470"/>
      <c r="R126" s="470"/>
      <c r="S126" s="470"/>
      <c r="T126" s="470"/>
      <c r="U126" s="470"/>
      <c r="V126" s="470"/>
      <c r="W126" s="470"/>
      <c r="X126" s="470"/>
      <c r="Y126" s="470"/>
      <c r="Z126" s="470"/>
      <c r="AA126" s="470"/>
      <c r="AB126" s="470"/>
      <c r="AC126" s="470"/>
      <c r="AD126" s="470"/>
      <c r="AE126" s="470"/>
      <c r="AF126" s="470"/>
      <c r="AG126" s="470"/>
      <c r="AH126" s="470"/>
      <c r="AI126" s="470"/>
      <c r="AJ126" s="470"/>
      <c r="AK126" s="470"/>
      <c r="AL126" s="470"/>
    </row>
    <row r="127" spans="1:38" x14ac:dyDescent="0.25">
      <c r="A127" s="470" t="s">
        <v>197</v>
      </c>
      <c r="B127" s="470"/>
      <c r="C127" s="470"/>
      <c r="D127" s="470" t="s">
        <v>198</v>
      </c>
      <c r="E127" s="470"/>
      <c r="F127" s="470"/>
      <c r="G127" s="470"/>
      <c r="H127" s="470"/>
      <c r="I127" s="470"/>
      <c r="J127" s="470"/>
      <c r="K127" s="470"/>
      <c r="L127" s="470"/>
      <c r="M127" s="470"/>
      <c r="N127" s="470"/>
      <c r="O127" s="470"/>
      <c r="P127" s="470"/>
      <c r="Q127" s="470"/>
      <c r="R127" s="470"/>
      <c r="S127" s="470"/>
      <c r="T127" s="470"/>
      <c r="U127" s="470"/>
      <c r="V127" s="470"/>
      <c r="W127" s="470"/>
      <c r="X127" s="470"/>
      <c r="Y127" s="470"/>
      <c r="Z127" s="470"/>
      <c r="AA127" s="470"/>
      <c r="AB127" s="470"/>
      <c r="AC127" s="470"/>
      <c r="AD127" s="470"/>
      <c r="AE127" s="470"/>
      <c r="AF127" s="470"/>
      <c r="AG127" s="470"/>
      <c r="AH127" s="470"/>
      <c r="AI127" s="470"/>
      <c r="AJ127" s="470"/>
      <c r="AK127" s="470"/>
      <c r="AL127" s="470"/>
    </row>
    <row r="128" spans="1:38" x14ac:dyDescent="0.25">
      <c r="A128" s="470" t="s">
        <v>199</v>
      </c>
      <c r="B128" s="470"/>
      <c r="C128" s="470"/>
      <c r="D128" s="470" t="s">
        <v>200</v>
      </c>
      <c r="E128" s="470"/>
      <c r="F128" s="470"/>
      <c r="G128" s="470"/>
      <c r="H128" s="470"/>
      <c r="I128" s="470"/>
      <c r="J128" s="470"/>
      <c r="K128" s="470"/>
      <c r="L128" s="470"/>
      <c r="M128" s="470"/>
      <c r="N128" s="470"/>
      <c r="O128" s="470"/>
      <c r="P128" s="470"/>
      <c r="Q128" s="470"/>
      <c r="R128" s="470"/>
      <c r="S128" s="470"/>
      <c r="T128" s="470"/>
      <c r="U128" s="470"/>
      <c r="V128" s="470"/>
      <c r="W128" s="470"/>
      <c r="X128" s="470"/>
      <c r="Y128" s="470"/>
      <c r="Z128" s="470"/>
      <c r="AA128" s="470"/>
      <c r="AB128" s="470"/>
      <c r="AC128" s="470"/>
      <c r="AD128" s="470"/>
      <c r="AE128" s="470"/>
      <c r="AF128" s="470"/>
      <c r="AG128" s="470"/>
      <c r="AH128" s="470"/>
      <c r="AI128" s="470"/>
      <c r="AJ128" s="470"/>
      <c r="AK128" s="470"/>
      <c r="AL128" s="470"/>
    </row>
    <row r="129" spans="1:38" x14ac:dyDescent="0.25">
      <c r="A129" s="477" t="s">
        <v>201</v>
      </c>
      <c r="B129" s="478"/>
      <c r="C129" s="478"/>
      <c r="D129" s="478"/>
      <c r="E129" s="478"/>
      <c r="F129" s="478"/>
      <c r="G129" s="478"/>
      <c r="H129" s="478"/>
      <c r="I129" s="478"/>
      <c r="J129" s="478"/>
      <c r="K129" s="478"/>
      <c r="L129" s="478"/>
      <c r="M129" s="478"/>
      <c r="N129" s="478"/>
      <c r="O129" s="478"/>
      <c r="P129" s="478"/>
      <c r="Q129" s="478"/>
      <c r="R129" s="478"/>
      <c r="S129" s="478"/>
      <c r="T129" s="478"/>
      <c r="U129" s="478"/>
      <c r="V129" s="478"/>
      <c r="W129" s="478"/>
      <c r="X129" s="478"/>
      <c r="Y129" s="478"/>
      <c r="Z129" s="478"/>
      <c r="AA129" s="478"/>
      <c r="AB129" s="478"/>
      <c r="AC129" s="478"/>
      <c r="AD129" s="478"/>
      <c r="AE129" s="478"/>
      <c r="AF129" s="478"/>
      <c r="AG129" s="478"/>
      <c r="AH129" s="478"/>
      <c r="AI129" s="478"/>
      <c r="AJ129" s="478"/>
      <c r="AK129" s="478"/>
      <c r="AL129" s="479"/>
    </row>
    <row r="130" spans="1:38" x14ac:dyDescent="0.25">
      <c r="A130" s="480"/>
      <c r="B130" s="481"/>
      <c r="C130" s="481"/>
      <c r="D130" s="481"/>
      <c r="E130" s="481"/>
      <c r="F130" s="481"/>
      <c r="G130" s="481"/>
      <c r="H130" s="481"/>
      <c r="I130" s="481"/>
      <c r="J130" s="481"/>
      <c r="K130" s="481"/>
      <c r="L130" s="481"/>
      <c r="M130" s="481"/>
      <c r="N130" s="481"/>
      <c r="O130" s="481"/>
      <c r="P130" s="481"/>
      <c r="Q130" s="481"/>
      <c r="R130" s="481"/>
      <c r="S130" s="481"/>
      <c r="T130" s="481"/>
      <c r="U130" s="481"/>
      <c r="V130" s="481"/>
      <c r="W130" s="481"/>
      <c r="X130" s="481"/>
      <c r="Y130" s="481"/>
      <c r="Z130" s="481"/>
      <c r="AA130" s="481"/>
      <c r="AB130" s="481"/>
      <c r="AC130" s="481"/>
      <c r="AD130" s="481"/>
      <c r="AE130" s="481"/>
      <c r="AF130" s="481"/>
      <c r="AG130" s="481"/>
      <c r="AH130" s="481"/>
      <c r="AI130" s="481"/>
      <c r="AJ130" s="481"/>
      <c r="AK130" s="481"/>
      <c r="AL130" s="482"/>
    </row>
    <row r="131" spans="1:38" ht="21" customHeight="1" x14ac:dyDescent="0.25">
      <c r="A131" s="483"/>
      <c r="B131" s="484"/>
      <c r="C131" s="484"/>
      <c r="D131" s="484"/>
      <c r="E131" s="484"/>
      <c r="F131" s="484"/>
      <c r="G131" s="484"/>
      <c r="H131" s="484"/>
      <c r="I131" s="484"/>
      <c r="J131" s="484"/>
      <c r="K131" s="484"/>
      <c r="L131" s="484"/>
      <c r="M131" s="484"/>
      <c r="N131" s="484"/>
      <c r="O131" s="484"/>
      <c r="P131" s="484"/>
      <c r="Q131" s="484"/>
      <c r="R131" s="484"/>
      <c r="S131" s="484"/>
      <c r="T131" s="484"/>
      <c r="U131" s="484"/>
      <c r="V131" s="484"/>
      <c r="W131" s="484"/>
      <c r="X131" s="484"/>
      <c r="Y131" s="484"/>
      <c r="Z131" s="484"/>
      <c r="AA131" s="484"/>
      <c r="AB131" s="484"/>
      <c r="AC131" s="484"/>
      <c r="AD131" s="484"/>
      <c r="AE131" s="484"/>
      <c r="AF131" s="484"/>
      <c r="AG131" s="484"/>
      <c r="AH131" s="484"/>
      <c r="AI131" s="484"/>
      <c r="AJ131" s="484"/>
      <c r="AK131" s="484"/>
      <c r="AL131" s="485"/>
    </row>
    <row r="133" spans="1:38" x14ac:dyDescent="0.25">
      <c r="D133" s="10"/>
      <c r="E133" s="10"/>
      <c r="F133" s="10"/>
      <c r="G133" s="10"/>
      <c r="H133" s="10"/>
    </row>
    <row r="135" spans="1:38" x14ac:dyDescent="0.25">
      <c r="D135" s="10"/>
      <c r="E135" s="10"/>
    </row>
    <row r="137" spans="1:38" x14ac:dyDescent="0.25">
      <c r="D137" s="10"/>
      <c r="E137" s="441"/>
      <c r="F137" s="441"/>
      <c r="G137" s="441"/>
      <c r="H137" s="441"/>
      <c r="I137" s="441"/>
      <c r="J137" s="441"/>
      <c r="K137" s="441"/>
      <c r="L137" s="441"/>
      <c r="M137" s="441"/>
      <c r="N137" s="441"/>
      <c r="O137" s="441"/>
      <c r="P137" s="441"/>
      <c r="Q137" s="441"/>
      <c r="R137" s="441"/>
      <c r="S137" s="441"/>
      <c r="T137" s="441"/>
    </row>
    <row r="138" spans="1:38" x14ac:dyDescent="0.25">
      <c r="F138" s="5"/>
      <c r="G138" s="5"/>
      <c r="H138" s="5"/>
      <c r="I138" s="5"/>
      <c r="J138" s="5"/>
      <c r="K138" s="5"/>
      <c r="L138" s="5"/>
      <c r="M138" s="5"/>
      <c r="N138" s="5"/>
      <c r="O138" s="12"/>
      <c r="P138" s="5"/>
      <c r="Q138" s="5"/>
      <c r="R138" s="5"/>
      <c r="S138" s="5"/>
      <c r="T138" s="5"/>
    </row>
    <row r="139" spans="1:38" x14ac:dyDescent="0.25">
      <c r="E139" s="12"/>
      <c r="F139" s="5"/>
      <c r="G139" s="5"/>
      <c r="H139" s="5"/>
      <c r="I139" s="5"/>
      <c r="J139" s="5"/>
      <c r="K139" s="5"/>
      <c r="L139" s="5"/>
      <c r="M139" s="5"/>
      <c r="N139" s="5"/>
      <c r="O139" s="5"/>
      <c r="P139" s="5"/>
      <c r="Q139" s="5"/>
      <c r="R139" s="5"/>
      <c r="S139" s="5"/>
      <c r="T139" s="5"/>
    </row>
    <row r="140" spans="1:38" x14ac:dyDescent="0.25">
      <c r="D140" s="10"/>
      <c r="E140" s="441"/>
      <c r="F140" s="441"/>
      <c r="G140" s="441"/>
      <c r="H140" s="441"/>
      <c r="I140" s="441"/>
      <c r="J140" s="441"/>
      <c r="K140" s="441"/>
      <c r="L140" s="441"/>
      <c r="M140" s="441"/>
      <c r="N140" s="441"/>
      <c r="O140" s="441"/>
      <c r="P140" s="441"/>
      <c r="Q140" s="441"/>
      <c r="R140" s="441"/>
      <c r="S140" s="441"/>
      <c r="T140" s="441"/>
    </row>
    <row r="141" spans="1:38" x14ac:dyDescent="0.25">
      <c r="F141" s="5"/>
      <c r="G141" s="5"/>
      <c r="H141" s="5"/>
      <c r="I141" s="5"/>
      <c r="J141" s="5"/>
      <c r="K141" s="5"/>
      <c r="L141" s="5"/>
      <c r="M141" s="5"/>
      <c r="N141" s="5"/>
      <c r="O141" s="12"/>
      <c r="P141" s="5"/>
      <c r="Q141" s="5"/>
      <c r="R141" s="5"/>
      <c r="S141" s="5"/>
      <c r="T141" s="5"/>
    </row>
    <row r="142" spans="1:38" x14ac:dyDescent="0.25">
      <c r="E142" s="12"/>
      <c r="F142" s="5"/>
      <c r="G142" s="5"/>
      <c r="H142" s="5"/>
      <c r="I142" s="5"/>
      <c r="J142" s="5"/>
      <c r="K142" s="5"/>
      <c r="L142" s="5"/>
      <c r="M142" s="5"/>
      <c r="N142" s="5"/>
      <c r="O142" s="5"/>
      <c r="P142" s="5"/>
      <c r="Q142" s="5"/>
      <c r="R142" s="5"/>
      <c r="S142" s="5"/>
      <c r="T142" s="5"/>
    </row>
    <row r="143" spans="1:38" x14ac:dyDescent="0.25">
      <c r="D143" s="10"/>
      <c r="E143" s="441"/>
      <c r="F143" s="441"/>
      <c r="G143" s="441"/>
      <c r="H143" s="441"/>
      <c r="I143" s="441"/>
      <c r="J143" s="441"/>
      <c r="K143" s="441"/>
      <c r="L143" s="441"/>
      <c r="M143" s="441"/>
      <c r="N143" s="441"/>
      <c r="O143" s="441"/>
      <c r="P143" s="441"/>
      <c r="Q143" s="441"/>
      <c r="R143" s="441"/>
      <c r="S143" s="441"/>
      <c r="T143" s="441"/>
    </row>
    <row r="144" spans="1:38" x14ac:dyDescent="0.25">
      <c r="F144" s="5"/>
      <c r="G144" s="5"/>
      <c r="H144" s="5"/>
      <c r="I144" s="5"/>
      <c r="J144" s="5"/>
      <c r="K144" s="5"/>
      <c r="L144" s="5"/>
      <c r="M144" s="5"/>
      <c r="N144" s="5"/>
      <c r="O144" s="12"/>
      <c r="P144" s="5"/>
      <c r="Q144" s="5"/>
      <c r="R144" s="5"/>
      <c r="S144" s="5"/>
      <c r="T144" s="5"/>
    </row>
    <row r="145" spans="4:20" x14ac:dyDescent="0.25">
      <c r="E145" s="12"/>
      <c r="F145" s="5"/>
      <c r="G145" s="5"/>
      <c r="H145" s="5"/>
      <c r="I145" s="5"/>
      <c r="J145" s="5"/>
      <c r="K145" s="5"/>
      <c r="L145" s="5"/>
      <c r="M145" s="5"/>
      <c r="N145" s="5"/>
      <c r="O145" s="5"/>
      <c r="P145" s="5"/>
      <c r="Q145" s="5"/>
      <c r="R145" s="5"/>
      <c r="S145" s="5"/>
      <c r="T145" s="5"/>
    </row>
    <row r="146" spans="4:20" x14ac:dyDescent="0.25">
      <c r="D146" s="10"/>
      <c r="E146" s="10"/>
      <c r="F146" s="10"/>
      <c r="G146" s="10"/>
    </row>
    <row r="148" spans="4:20" x14ac:dyDescent="0.25">
      <c r="E148" s="12"/>
      <c r="F148" s="5"/>
      <c r="G148" s="5"/>
      <c r="H148" s="5"/>
      <c r="I148" s="5"/>
      <c r="J148" s="5"/>
      <c r="K148" s="5"/>
    </row>
    <row r="149" spans="4:20" x14ac:dyDescent="0.25">
      <c r="D149" s="10"/>
      <c r="E149" s="10"/>
      <c r="F149" s="10"/>
      <c r="G149" s="10"/>
      <c r="H149" s="10"/>
      <c r="I149" s="10"/>
      <c r="J149" s="10"/>
    </row>
    <row r="151" spans="4:20" x14ac:dyDescent="0.25">
      <c r="E151" s="12"/>
      <c r="F151" s="5"/>
      <c r="G151" s="5"/>
      <c r="H151" s="5"/>
      <c r="I151" s="5"/>
      <c r="J151" s="5"/>
    </row>
  </sheetData>
  <sheetProtection algorithmName="SHA-512" hashValue="+URRbWvawaYNUQ4xMxZjjrvJHcVSEvpeIcFHdlKIY4at7v5ZC7kQUVfx25pWVv1DBmxoYBrkJryAFaHn1acKoQ==" saltValue="/GkwRSI6Osan5+3y4fDfjQ==" spinCount="100000" sheet="1" objects="1" scenarios="1"/>
  <mergeCells count="262">
    <mergeCell ref="A121:C121"/>
    <mergeCell ref="D121:AL121"/>
    <mergeCell ref="A122:C122"/>
    <mergeCell ref="D122:AL122"/>
    <mergeCell ref="A129:AL131"/>
    <mergeCell ref="A2:AL2"/>
    <mergeCell ref="A32:C32"/>
    <mergeCell ref="D32:AL32"/>
    <mergeCell ref="A35:C35"/>
    <mergeCell ref="D35:AL35"/>
    <mergeCell ref="A33:C33"/>
    <mergeCell ref="D33:AL33"/>
    <mergeCell ref="A36:C36"/>
    <mergeCell ref="D36:AL36"/>
    <mergeCell ref="A34:C34"/>
    <mergeCell ref="D34:AL34"/>
    <mergeCell ref="A24:C24"/>
    <mergeCell ref="D24:AL24"/>
    <mergeCell ref="A21:C21"/>
    <mergeCell ref="D21:AL21"/>
    <mergeCell ref="A22:C22"/>
    <mergeCell ref="D22:AL22"/>
    <mergeCell ref="A23:C23"/>
    <mergeCell ref="D23:AL23"/>
    <mergeCell ref="A26:C26"/>
    <mergeCell ref="D26:AL26"/>
    <mergeCell ref="A27:C27"/>
    <mergeCell ref="D27:AL27"/>
    <mergeCell ref="A29:C29"/>
    <mergeCell ref="A127:C127"/>
    <mergeCell ref="D127:AL127"/>
    <mergeCell ref="D120:AL120"/>
    <mergeCell ref="A117:C117"/>
    <mergeCell ref="D117:AL117"/>
    <mergeCell ref="A115:C115"/>
    <mergeCell ref="D115:AL115"/>
    <mergeCell ref="A111:C111"/>
    <mergeCell ref="D111:AL111"/>
    <mergeCell ref="A112:C112"/>
    <mergeCell ref="D112:AL112"/>
    <mergeCell ref="A114:C114"/>
    <mergeCell ref="D114:AL114"/>
    <mergeCell ref="A113:C113"/>
    <mergeCell ref="D113:AL113"/>
    <mergeCell ref="A118:C118"/>
    <mergeCell ref="D118:AL118"/>
    <mergeCell ref="A120:C120"/>
    <mergeCell ref="A109:C109"/>
    <mergeCell ref="A128:C128"/>
    <mergeCell ref="D128:AL128"/>
    <mergeCell ref="A125:C125"/>
    <mergeCell ref="D125:AL125"/>
    <mergeCell ref="A126:C126"/>
    <mergeCell ref="D126:AL126"/>
    <mergeCell ref="A123:C123"/>
    <mergeCell ref="D123:AL123"/>
    <mergeCell ref="A124:C124"/>
    <mergeCell ref="D124:AL124"/>
    <mergeCell ref="D109:AL109"/>
    <mergeCell ref="A110:C110"/>
    <mergeCell ref="D110:AL110"/>
    <mergeCell ref="A107:C107"/>
    <mergeCell ref="D107:AL107"/>
    <mergeCell ref="A108:C108"/>
    <mergeCell ref="D108:AL108"/>
    <mergeCell ref="A119:C119"/>
    <mergeCell ref="D119:AL119"/>
    <mergeCell ref="A103:C103"/>
    <mergeCell ref="D103:AL103"/>
    <mergeCell ref="A104:C104"/>
    <mergeCell ref="D104:AL104"/>
    <mergeCell ref="D100:AL100"/>
    <mergeCell ref="A106:C106"/>
    <mergeCell ref="D106:AL106"/>
    <mergeCell ref="A85:C85"/>
    <mergeCell ref="D85:AL85"/>
    <mergeCell ref="A87:C87"/>
    <mergeCell ref="D87:AL87"/>
    <mergeCell ref="A90:C90"/>
    <mergeCell ref="A99:C99"/>
    <mergeCell ref="D99:AL99"/>
    <mergeCell ref="A100:C100"/>
    <mergeCell ref="A101:C101"/>
    <mergeCell ref="A88:C88"/>
    <mergeCell ref="D88:AL88"/>
    <mergeCell ref="A89:C89"/>
    <mergeCell ref="D89:AL89"/>
    <mergeCell ref="A105:C105"/>
    <mergeCell ref="D105:AL105"/>
    <mergeCell ref="D101:AL101"/>
    <mergeCell ref="A86:C86"/>
    <mergeCell ref="D86:AL86"/>
    <mergeCell ref="A80:C80"/>
    <mergeCell ref="D80:AL80"/>
    <mergeCell ref="A81:C81"/>
    <mergeCell ref="D81:AL81"/>
    <mergeCell ref="A82:C82"/>
    <mergeCell ref="D82:AL82"/>
    <mergeCell ref="A73:C73"/>
    <mergeCell ref="D73:AL73"/>
    <mergeCell ref="A77:C77"/>
    <mergeCell ref="D77:AL77"/>
    <mergeCell ref="A78:C78"/>
    <mergeCell ref="D78:AL78"/>
    <mergeCell ref="A79:C79"/>
    <mergeCell ref="D79:AL79"/>
    <mergeCell ref="A84:C84"/>
    <mergeCell ref="D84:AL84"/>
    <mergeCell ref="A70:C70"/>
    <mergeCell ref="D70:AL70"/>
    <mergeCell ref="A74:C74"/>
    <mergeCell ref="D74:AL74"/>
    <mergeCell ref="A75:C75"/>
    <mergeCell ref="D75:AL75"/>
    <mergeCell ref="A76:C76"/>
    <mergeCell ref="D76:AL76"/>
    <mergeCell ref="A68:C68"/>
    <mergeCell ref="D68:AL68"/>
    <mergeCell ref="A71:C71"/>
    <mergeCell ref="D71:AL71"/>
    <mergeCell ref="A72:C72"/>
    <mergeCell ref="D72:AL72"/>
    <mergeCell ref="A65:C65"/>
    <mergeCell ref="D65:AL65"/>
    <mergeCell ref="A69:C69"/>
    <mergeCell ref="D69:AL69"/>
    <mergeCell ref="A66:C66"/>
    <mergeCell ref="D66:AL66"/>
    <mergeCell ref="A67:C67"/>
    <mergeCell ref="D67:AL67"/>
    <mergeCell ref="A64:C64"/>
    <mergeCell ref="D64:AL64"/>
    <mergeCell ref="D49:AL49"/>
    <mergeCell ref="A51:C51"/>
    <mergeCell ref="D51:AL51"/>
    <mergeCell ref="A53:C53"/>
    <mergeCell ref="D53:AL53"/>
    <mergeCell ref="A61:C61"/>
    <mergeCell ref="D61:AL61"/>
    <mergeCell ref="A62:C62"/>
    <mergeCell ref="D62:AL62"/>
    <mergeCell ref="D60:AL60"/>
    <mergeCell ref="A57:C57"/>
    <mergeCell ref="D57:AL57"/>
    <mergeCell ref="A58:C58"/>
    <mergeCell ref="D58:AL58"/>
    <mergeCell ref="A59:C59"/>
    <mergeCell ref="D59:AL59"/>
    <mergeCell ref="A55:C55"/>
    <mergeCell ref="D55:AL55"/>
    <mergeCell ref="A56:C56"/>
    <mergeCell ref="D56:AL56"/>
    <mergeCell ref="A60:C60"/>
    <mergeCell ref="A8:AL10"/>
    <mergeCell ref="A11:AL13"/>
    <mergeCell ref="A7:D7"/>
    <mergeCell ref="E7:H7"/>
    <mergeCell ref="I7:L7"/>
    <mergeCell ref="M7:Q7"/>
    <mergeCell ref="R7:U7"/>
    <mergeCell ref="B20:H20"/>
    <mergeCell ref="I20:P20"/>
    <mergeCell ref="Q20:T20"/>
    <mergeCell ref="V20:Z20"/>
    <mergeCell ref="AA20:AL20"/>
    <mergeCell ref="B17:H17"/>
    <mergeCell ref="I17:T17"/>
    <mergeCell ref="V17:Z17"/>
    <mergeCell ref="AA17:AL17"/>
    <mergeCell ref="B18:H19"/>
    <mergeCell ref="I18:T19"/>
    <mergeCell ref="V18:Z18"/>
    <mergeCell ref="AA18:AL18"/>
    <mergeCell ref="V19:Z19"/>
    <mergeCell ref="AA19:AL19"/>
    <mergeCell ref="E137:T137"/>
    <mergeCell ref="E140:T140"/>
    <mergeCell ref="E143:T143"/>
    <mergeCell ref="B15:AL15"/>
    <mergeCell ref="B16:H16"/>
    <mergeCell ref="I16:T16"/>
    <mergeCell ref="V16:Z16"/>
    <mergeCell ref="AA16:AL16"/>
    <mergeCell ref="D29:AL29"/>
    <mergeCell ref="A30:C30"/>
    <mergeCell ref="A31:C31"/>
    <mergeCell ref="D30:AL30"/>
    <mergeCell ref="D31:AL31"/>
    <mergeCell ref="A40:C40"/>
    <mergeCell ref="D40:AL40"/>
    <mergeCell ref="A41:C41"/>
    <mergeCell ref="D41:AL41"/>
    <mergeCell ref="A37:C37"/>
    <mergeCell ref="D37:AL37"/>
    <mergeCell ref="A38:C38"/>
    <mergeCell ref="D38:AL38"/>
    <mergeCell ref="A39:C39"/>
    <mergeCell ref="D39:AL39"/>
    <mergeCell ref="A46:C46"/>
    <mergeCell ref="Z5:AC5"/>
    <mergeCell ref="AD5:AF5"/>
    <mergeCell ref="A6:D6"/>
    <mergeCell ref="E6:H6"/>
    <mergeCell ref="I6:L6"/>
    <mergeCell ref="M6:Q6"/>
    <mergeCell ref="R6:U6"/>
    <mergeCell ref="V6:Y6"/>
    <mergeCell ref="Z6:AC6"/>
    <mergeCell ref="AD6:AF6"/>
    <mergeCell ref="A5:D5"/>
    <mergeCell ref="E5:H5"/>
    <mergeCell ref="I5:L5"/>
    <mergeCell ref="M5:Q5"/>
    <mergeCell ref="R5:U5"/>
    <mergeCell ref="A1:AL1"/>
    <mergeCell ref="A95:C95"/>
    <mergeCell ref="D95:AL95"/>
    <mergeCell ref="A96:C96"/>
    <mergeCell ref="D96:AL96"/>
    <mergeCell ref="D97:AL97"/>
    <mergeCell ref="A97:C97"/>
    <mergeCell ref="A98:C98"/>
    <mergeCell ref="D98:AL98"/>
    <mergeCell ref="D90:AL90"/>
    <mergeCell ref="A91:C91"/>
    <mergeCell ref="D91:AL91"/>
    <mergeCell ref="A92:C92"/>
    <mergeCell ref="D92:AL92"/>
    <mergeCell ref="A93:C93"/>
    <mergeCell ref="D93:AL93"/>
    <mergeCell ref="A94:C94"/>
    <mergeCell ref="D94:AL94"/>
    <mergeCell ref="A3:AL3"/>
    <mergeCell ref="A4:AL4"/>
    <mergeCell ref="V7:Y7"/>
    <mergeCell ref="Z7:AC7"/>
    <mergeCell ref="AD7:AF7"/>
    <mergeCell ref="V5:Y5"/>
    <mergeCell ref="A28:C28"/>
    <mergeCell ref="D28:AL28"/>
    <mergeCell ref="D50:AL50"/>
    <mergeCell ref="A50:C50"/>
    <mergeCell ref="A52:C52"/>
    <mergeCell ref="D52:AL52"/>
    <mergeCell ref="A54:C54"/>
    <mergeCell ref="D54:AL54"/>
    <mergeCell ref="A63:C63"/>
    <mergeCell ref="D63:AL63"/>
    <mergeCell ref="D46:AL46"/>
    <mergeCell ref="A47:C47"/>
    <mergeCell ref="D47:AL47"/>
    <mergeCell ref="A48:C48"/>
    <mergeCell ref="D48:AL48"/>
    <mergeCell ref="A42:C42"/>
    <mergeCell ref="D42:AL42"/>
    <mergeCell ref="A43:C43"/>
    <mergeCell ref="D43:AL43"/>
    <mergeCell ref="A45:C45"/>
    <mergeCell ref="D45:AL45"/>
    <mergeCell ref="A44:C44"/>
    <mergeCell ref="D44:AL44"/>
    <mergeCell ref="A49:C49"/>
  </mergeCells>
  <pageMargins left="0.7" right="0.7" top="0.75" bottom="0.75" header="0.3" footer="0.3"/>
  <pageSetup scale="6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A01A0-463B-443A-936D-B2EBCCAF3A0D}">
  <sheetPr>
    <tabColor theme="5" tint="-0.249977111117893"/>
  </sheetPr>
  <dimension ref="A1:BA1014"/>
  <sheetViews>
    <sheetView topLeftCell="W1" zoomScale="90" zoomScaleNormal="90" workbookViewId="0">
      <pane ySplit="1" topLeftCell="A5" activePane="bottomLeft" state="frozen"/>
      <selection activeCell="N1" sqref="N1"/>
      <selection pane="bottomLeft" activeCell="Y13" sqref="Y13:AI13"/>
    </sheetView>
  </sheetViews>
  <sheetFormatPr defaultRowHeight="15" x14ac:dyDescent="0.25"/>
  <cols>
    <col min="1" max="1" width="5.7109375" customWidth="1"/>
    <col min="2" max="2" width="12.7109375" customWidth="1"/>
    <col min="3" max="3" width="13.7109375" customWidth="1"/>
    <col min="4" max="4" width="15" customWidth="1"/>
    <col min="5" max="5" width="12.7109375" customWidth="1"/>
    <col min="6" max="6" width="18.28515625" customWidth="1"/>
    <col min="7" max="7" width="9.28515625" customWidth="1"/>
    <col min="8" max="8" width="8.7109375" customWidth="1"/>
    <col min="9" max="9" width="20.7109375" customWidth="1"/>
    <col min="10" max="10" width="17.85546875" customWidth="1"/>
    <col min="11" max="11" width="28.7109375" customWidth="1"/>
    <col min="12" max="12" width="12.7109375" customWidth="1"/>
    <col min="13" max="13" width="15.85546875" customWidth="1"/>
    <col min="14" max="14" width="18.28515625" customWidth="1"/>
    <col min="15" max="19" width="12.7109375" customWidth="1"/>
    <col min="20" max="20" width="14.42578125" customWidth="1"/>
    <col min="21" max="21" width="12.7109375" customWidth="1"/>
    <col min="22" max="22" width="17.28515625" customWidth="1"/>
    <col min="23" max="23" width="12.7109375" customWidth="1"/>
    <col min="24" max="24" width="13.85546875" customWidth="1"/>
    <col min="25" max="32" width="6.7109375" customWidth="1"/>
    <col min="33" max="33" width="15.42578125" customWidth="1"/>
    <col min="34" max="34" width="6.7109375" customWidth="1"/>
    <col min="35" max="35" width="14.140625" customWidth="1"/>
    <col min="36" max="37" width="12.7109375" customWidth="1"/>
    <col min="38" max="38" width="13.7109375" customWidth="1"/>
    <col min="39" max="43" width="12.7109375" customWidth="1"/>
    <col min="44" max="45" width="17.140625" customWidth="1"/>
    <col min="46" max="46" width="12.7109375" customWidth="1"/>
    <col min="47" max="47" width="14.5703125" customWidth="1"/>
    <col min="48" max="48" width="18.140625" customWidth="1"/>
    <col min="49" max="49" width="21" customWidth="1"/>
    <col min="50" max="50" width="21.5703125" customWidth="1"/>
    <col min="51" max="51" width="50" customWidth="1"/>
    <col min="52" max="53" width="12.7109375" customWidth="1"/>
  </cols>
  <sheetData>
    <row r="1" spans="1:53" ht="60" customHeight="1" thickTop="1" thickBot="1" x14ac:dyDescent="0.3">
      <c r="A1" s="271" t="s">
        <v>234</v>
      </c>
      <c r="B1" s="259" t="s">
        <v>235</v>
      </c>
      <c r="C1" s="272" t="s">
        <v>236</v>
      </c>
      <c r="D1" s="273" t="s">
        <v>237</v>
      </c>
      <c r="E1" s="260" t="s">
        <v>238</v>
      </c>
      <c r="F1" s="278" t="s">
        <v>239</v>
      </c>
      <c r="G1" s="291" t="s">
        <v>240</v>
      </c>
      <c r="H1" s="274" t="s">
        <v>241</v>
      </c>
      <c r="I1" s="355" t="s">
        <v>242</v>
      </c>
      <c r="J1" s="275" t="s">
        <v>243</v>
      </c>
      <c r="K1" s="276" t="s">
        <v>244</v>
      </c>
      <c r="L1" s="277" t="s">
        <v>245</v>
      </c>
      <c r="M1" s="323" t="s">
        <v>246</v>
      </c>
      <c r="N1" s="325" t="s">
        <v>83</v>
      </c>
      <c r="O1" s="326" t="s">
        <v>247</v>
      </c>
      <c r="P1" s="327" t="s">
        <v>248</v>
      </c>
      <c r="Q1" s="326" t="s">
        <v>249</v>
      </c>
      <c r="R1" s="327" t="s">
        <v>250</v>
      </c>
      <c r="S1" s="328" t="s">
        <v>251</v>
      </c>
      <c r="T1" s="329" t="s">
        <v>252</v>
      </c>
      <c r="U1" s="330" t="s">
        <v>251</v>
      </c>
      <c r="V1" s="329" t="s">
        <v>253</v>
      </c>
      <c r="W1" s="331" t="s">
        <v>254</v>
      </c>
      <c r="X1" s="332" t="s">
        <v>102</v>
      </c>
      <c r="Y1" s="324" t="s">
        <v>255</v>
      </c>
      <c r="Z1" s="252" t="s">
        <v>256</v>
      </c>
      <c r="AA1" s="251" t="s">
        <v>257</v>
      </c>
      <c r="AB1" s="252" t="s">
        <v>258</v>
      </c>
      <c r="AC1" s="251" t="s">
        <v>259</v>
      </c>
      <c r="AD1" s="252" t="s">
        <v>260</v>
      </c>
      <c r="AE1" s="251" t="s">
        <v>261</v>
      </c>
      <c r="AF1" s="253" t="s">
        <v>262</v>
      </c>
      <c r="AG1" s="225" t="s">
        <v>263</v>
      </c>
      <c r="AH1" s="254" t="s">
        <v>264</v>
      </c>
      <c r="AI1" s="225" t="s">
        <v>265</v>
      </c>
      <c r="AJ1" s="392" t="s">
        <v>266</v>
      </c>
      <c r="AK1" s="389" t="s">
        <v>267</v>
      </c>
      <c r="AL1" s="390" t="s">
        <v>268</v>
      </c>
      <c r="AM1" s="394" t="s">
        <v>269</v>
      </c>
      <c r="AN1" s="395" t="s">
        <v>270</v>
      </c>
      <c r="AO1" s="148" t="s">
        <v>271</v>
      </c>
      <c r="AP1" s="392" t="s">
        <v>272</v>
      </c>
      <c r="AQ1" s="218" t="s">
        <v>273</v>
      </c>
      <c r="AR1" s="258" t="s">
        <v>274</v>
      </c>
      <c r="AS1" s="256" t="s">
        <v>275</v>
      </c>
      <c r="AT1" s="255" t="s">
        <v>276</v>
      </c>
      <c r="AU1" s="281" t="s">
        <v>277</v>
      </c>
      <c r="AV1" s="282" t="s">
        <v>278</v>
      </c>
      <c r="AW1" s="284" t="s">
        <v>279</v>
      </c>
      <c r="AX1" s="145" t="s">
        <v>280</v>
      </c>
      <c r="AY1" s="146" t="s">
        <v>281</v>
      </c>
      <c r="AZ1" s="147" t="s">
        <v>282</v>
      </c>
      <c r="BA1" s="147" t="s">
        <v>283</v>
      </c>
    </row>
    <row r="2" spans="1:53" ht="20.100000000000001" customHeight="1" thickTop="1" x14ac:dyDescent="0.25">
      <c r="A2" s="406" t="str">
        <f>'BASE GRANTEE SET UP &amp; INFO'!A1</f>
        <v>WV Bureau for Behavioral Health and Health Facilities - Traumatic Brain Injury (TBI) Program V20210501</v>
      </c>
      <c r="B2" s="590"/>
      <c r="C2" s="590"/>
      <c r="D2" s="590"/>
      <c r="E2" s="590"/>
      <c r="F2" s="590"/>
      <c r="G2" s="590"/>
      <c r="H2" s="590"/>
      <c r="I2" s="590"/>
      <c r="J2" s="590"/>
      <c r="K2" s="590"/>
      <c r="L2" s="590"/>
      <c r="M2" s="590"/>
      <c r="N2" s="590"/>
      <c r="O2" s="590"/>
      <c r="P2" s="590"/>
      <c r="Q2" s="155"/>
      <c r="R2" s="155"/>
      <c r="S2" s="155"/>
      <c r="T2" s="155"/>
      <c r="U2" s="155"/>
      <c r="V2" s="155"/>
      <c r="W2" s="155"/>
      <c r="X2" s="155"/>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row>
    <row r="3" spans="1:53" ht="20.100000000000001" customHeight="1" x14ac:dyDescent="0.25">
      <c r="A3" s="590" t="str">
        <f>'BASE GRANTEE SET UP &amp; INFO'!A2</f>
        <v>Fiscal Year 2022 (July 1, 2021- June 30, 2022) includes data elements from previous years</v>
      </c>
      <c r="B3" s="590"/>
      <c r="C3" s="590"/>
      <c r="D3" s="590"/>
      <c r="E3" s="590"/>
      <c r="F3" s="590"/>
      <c r="G3" s="590"/>
      <c r="H3" s="590"/>
      <c r="I3" s="590"/>
      <c r="J3" s="590"/>
      <c r="K3" s="590"/>
      <c r="L3" s="590"/>
      <c r="M3" s="590"/>
      <c r="N3" s="590"/>
      <c r="O3" s="590"/>
      <c r="P3" s="590"/>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row>
    <row r="4" spans="1:53" ht="20.100000000000001" customHeight="1" x14ac:dyDescent="0.25">
      <c r="A4" s="591" t="str">
        <f>'BASE GRANTEE SET UP &amp; INFO'!A3</f>
        <v xml:space="preserve">Program reports need to be submitted electronically, via e-mail to DHHRBBHReporting@wv.gov within 25 calendar days of the end of each month </v>
      </c>
      <c r="B4" s="591"/>
      <c r="C4" s="591"/>
      <c r="D4" s="591"/>
      <c r="E4" s="591"/>
      <c r="F4" s="591"/>
      <c r="G4" s="591"/>
      <c r="H4" s="591"/>
      <c r="I4" s="591"/>
      <c r="J4" s="591"/>
      <c r="K4" s="591"/>
      <c r="L4" s="591"/>
      <c r="M4" s="591"/>
      <c r="N4" s="591"/>
      <c r="O4" s="591"/>
      <c r="P4" s="591"/>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row>
    <row r="5" spans="1:53" ht="24.95" customHeight="1" x14ac:dyDescent="0.25">
      <c r="A5" s="580" t="s">
        <v>284</v>
      </c>
      <c r="B5" s="581"/>
      <c r="C5" s="581"/>
      <c r="D5" s="581"/>
      <c r="E5" s="581"/>
      <c r="F5" s="581"/>
      <c r="G5" s="581"/>
      <c r="H5" s="581"/>
      <c r="I5" s="581"/>
      <c r="J5" s="581"/>
      <c r="K5" s="581"/>
      <c r="L5" s="581"/>
      <c r="M5" s="364"/>
      <c r="N5" s="364"/>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row>
    <row r="6" spans="1:53" ht="24.95" customHeight="1" x14ac:dyDescent="0.25">
      <c r="A6" s="515" t="s">
        <v>204</v>
      </c>
      <c r="B6" s="516"/>
      <c r="C6" s="516"/>
      <c r="D6" s="516"/>
      <c r="E6" s="583" t="str">
        <f>'BASE GRANTEE SET UP &amp; INFO'!G5</f>
        <v xml:space="preserve">Traumatic Brain Injury (TBI) Program </v>
      </c>
      <c r="F6" s="584"/>
      <c r="G6" s="584"/>
      <c r="H6" s="585"/>
      <c r="I6" s="559" t="s">
        <v>31</v>
      </c>
      <c r="J6" s="560"/>
      <c r="K6" s="583" t="str">
        <f>'BASE GRANTEE SET UP &amp; INFO'!Y5</f>
        <v xml:space="preserve">WV University Research Corporation - WVU Center of Excellence in Disabilities </v>
      </c>
      <c r="L6" s="584"/>
      <c r="M6" s="584"/>
      <c r="N6" s="584"/>
      <c r="O6" s="152"/>
      <c r="P6" s="152"/>
      <c r="Q6" s="151"/>
      <c r="R6" s="151"/>
      <c r="S6" s="151"/>
      <c r="T6" s="151"/>
      <c r="U6" s="151"/>
      <c r="V6" s="151"/>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row>
    <row r="7" spans="1:53" ht="20.100000000000001" customHeight="1" x14ac:dyDescent="0.25">
      <c r="A7" s="515" t="s">
        <v>207</v>
      </c>
      <c r="B7" s="516"/>
      <c r="C7" s="516"/>
      <c r="D7" s="516"/>
      <c r="E7" s="583" t="str">
        <f>'BASE GRANTEE SET UP &amp; INFO'!G6</f>
        <v xml:space="preserve">TBI Program </v>
      </c>
      <c r="F7" s="584"/>
      <c r="G7" s="584"/>
      <c r="H7" s="585"/>
      <c r="I7" s="559" t="s">
        <v>209</v>
      </c>
      <c r="J7" s="560"/>
      <c r="K7" s="583">
        <f>'BASE GRANTEE SET UP &amp; INFO'!Y6</f>
        <v>0</v>
      </c>
      <c r="L7" s="584"/>
      <c r="M7" s="584"/>
      <c r="N7" s="584"/>
      <c r="O7" s="152"/>
      <c r="P7" s="152"/>
      <c r="Q7" s="151"/>
      <c r="R7" s="151"/>
      <c r="S7" s="151"/>
      <c r="T7" s="151"/>
      <c r="U7" s="151"/>
      <c r="V7" s="151"/>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row>
    <row r="8" spans="1:53" ht="20.100000000000001" customHeight="1" x14ac:dyDescent="0.25">
      <c r="A8" s="506" t="s">
        <v>210</v>
      </c>
      <c r="B8" s="507"/>
      <c r="C8" s="507"/>
      <c r="D8" s="508"/>
      <c r="E8" s="586" t="str">
        <f>'BASE GRANTEE SET UP &amp; INFO'!G7</f>
        <v>959 Hartman Run Road, Morgantown, WV 26506</v>
      </c>
      <c r="F8" s="587"/>
      <c r="G8" s="587"/>
      <c r="H8" s="588"/>
      <c r="I8" s="559" t="s">
        <v>212</v>
      </c>
      <c r="J8" s="560"/>
      <c r="K8" s="583">
        <f>'BASE GRANTEE SET UP &amp; INFO'!Y7</f>
        <v>0</v>
      </c>
      <c r="L8" s="584"/>
      <c r="M8" s="584"/>
      <c r="N8" s="584"/>
      <c r="O8" s="152"/>
      <c r="P8" s="152"/>
      <c r="Q8" s="151"/>
      <c r="R8" s="151"/>
      <c r="S8" s="151"/>
      <c r="T8" s="151"/>
      <c r="U8" s="151"/>
      <c r="V8" s="151"/>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3"/>
      <c r="AW8" s="152"/>
      <c r="AX8" s="152"/>
      <c r="AY8" s="152"/>
      <c r="AZ8" s="152"/>
      <c r="BA8" s="152"/>
    </row>
    <row r="9" spans="1:53" ht="15" customHeight="1" x14ac:dyDescent="0.25">
      <c r="A9" s="509"/>
      <c r="B9" s="510"/>
      <c r="C9" s="510"/>
      <c r="D9" s="511"/>
      <c r="E9" s="586"/>
      <c r="F9" s="587"/>
      <c r="G9" s="587"/>
      <c r="H9" s="588"/>
      <c r="I9" s="515" t="s">
        <v>213</v>
      </c>
      <c r="J9" s="516"/>
      <c r="K9" s="583">
        <f>'BASE GRANTEE SET UP &amp; INFO'!Y8</f>
        <v>0</v>
      </c>
      <c r="L9" s="584"/>
      <c r="M9" s="584"/>
      <c r="N9" s="584"/>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row>
    <row r="10" spans="1:53" ht="15" customHeight="1" x14ac:dyDescent="0.25">
      <c r="A10" s="582" t="s">
        <v>285</v>
      </c>
      <c r="B10" s="582"/>
      <c r="C10" s="582"/>
      <c r="D10" s="582"/>
      <c r="E10" s="359" t="s">
        <v>215</v>
      </c>
      <c r="F10" s="352" t="str">
        <f>'BASE GRANTEE SET UP &amp; INFO'!I9</f>
        <v>July</v>
      </c>
      <c r="G10" s="366" t="s">
        <v>217</v>
      </c>
      <c r="H10" s="352">
        <f>'BASE GRANTEE SET UP &amp; INFO'!M9</f>
        <v>2023</v>
      </c>
      <c r="I10" s="515" t="s">
        <v>218</v>
      </c>
      <c r="J10" s="516"/>
      <c r="K10" s="592">
        <f>'BASE GRANTEE SET UP &amp; INFO'!Y9</f>
        <v>0</v>
      </c>
      <c r="L10" s="593"/>
      <c r="M10" s="593"/>
      <c r="N10" s="593"/>
      <c r="O10" s="322"/>
      <c r="P10" s="32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row>
    <row r="11" spans="1:53" ht="20.100000000000001" customHeight="1" x14ac:dyDescent="0.25">
      <c r="A11" s="546" t="s">
        <v>286</v>
      </c>
      <c r="B11" s="546"/>
      <c r="C11" s="546"/>
      <c r="D11" s="546"/>
      <c r="E11" s="546"/>
      <c r="F11" s="546"/>
      <c r="G11" s="546"/>
      <c r="H11" s="546"/>
      <c r="I11" s="546"/>
      <c r="J11" s="546"/>
      <c r="K11" s="546"/>
      <c r="L11" s="546"/>
      <c r="M11" s="364"/>
      <c r="N11" s="364"/>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2"/>
      <c r="AV11" s="152"/>
      <c r="AW11" s="152"/>
      <c r="AX11" s="152"/>
      <c r="AY11" s="152"/>
      <c r="AZ11" s="152"/>
      <c r="BA11" s="152"/>
    </row>
    <row r="12" spans="1:53" ht="24.95" customHeight="1" thickBot="1" x14ac:dyDescent="0.3">
      <c r="A12" s="573" t="s">
        <v>287</v>
      </c>
      <c r="B12" s="574"/>
      <c r="C12" s="574"/>
      <c r="D12" s="574"/>
      <c r="E12" s="574"/>
      <c r="F12" s="574"/>
      <c r="G12" s="574"/>
      <c r="H12" s="574"/>
      <c r="I12" s="574"/>
      <c r="J12" s="574"/>
      <c r="K12" s="574"/>
      <c r="L12" s="574"/>
      <c r="M12" s="574"/>
      <c r="N12" s="574"/>
      <c r="O12" s="338"/>
      <c r="P12" s="338"/>
      <c r="Q12" s="338"/>
      <c r="R12" s="338"/>
      <c r="S12" s="338"/>
      <c r="T12" s="338"/>
      <c r="U12" s="338"/>
      <c r="V12" s="338"/>
      <c r="W12" s="338"/>
      <c r="X12" s="338"/>
      <c r="Y12" s="157"/>
      <c r="Z12" s="157"/>
      <c r="AA12" s="157"/>
      <c r="AB12" s="157"/>
      <c r="AC12" s="157"/>
      <c r="AD12" s="157"/>
      <c r="AE12" s="157"/>
      <c r="AF12" s="157"/>
      <c r="AG12" s="157"/>
      <c r="AH12" s="157"/>
      <c r="AI12" s="157"/>
      <c r="AJ12" s="157"/>
      <c r="AK12" s="157"/>
      <c r="AL12" s="157"/>
      <c r="AM12" s="157"/>
      <c r="AN12" s="157"/>
      <c r="AO12" s="157"/>
      <c r="AP12" s="157"/>
      <c r="AQ12" s="157"/>
      <c r="AR12" s="157"/>
      <c r="AS12" s="157"/>
      <c r="AT12" s="157"/>
      <c r="AU12" s="157"/>
      <c r="AV12" s="157"/>
      <c r="AW12" s="157"/>
      <c r="AX12" s="157"/>
      <c r="AY12" s="157"/>
      <c r="AZ12" s="157"/>
      <c r="BA12" s="157"/>
    </row>
    <row r="13" spans="1:53" ht="24.95" customHeight="1" thickTop="1" x14ac:dyDescent="0.25">
      <c r="A13" s="562" t="s">
        <v>288</v>
      </c>
      <c r="B13" s="563"/>
      <c r="C13" s="563"/>
      <c r="D13" s="563"/>
      <c r="E13" s="564"/>
      <c r="F13" s="565" t="s">
        <v>289</v>
      </c>
      <c r="G13" s="566"/>
      <c r="H13" s="566"/>
      <c r="I13" s="566"/>
      <c r="J13" s="567"/>
      <c r="K13" s="247" t="s">
        <v>290</v>
      </c>
      <c r="L13" s="78" t="s">
        <v>291</v>
      </c>
      <c r="M13" s="321" t="s">
        <v>292</v>
      </c>
      <c r="N13" s="570" t="s">
        <v>293</v>
      </c>
      <c r="O13" s="571"/>
      <c r="P13" s="571"/>
      <c r="Q13" s="571"/>
      <c r="R13" s="571"/>
      <c r="S13" s="571"/>
      <c r="T13" s="571"/>
      <c r="U13" s="571"/>
      <c r="V13" s="571"/>
      <c r="W13" s="571"/>
      <c r="X13" s="572"/>
      <c r="Y13" s="568" t="s">
        <v>294</v>
      </c>
      <c r="Z13" s="568"/>
      <c r="AA13" s="568"/>
      <c r="AB13" s="568"/>
      <c r="AC13" s="568"/>
      <c r="AD13" s="568"/>
      <c r="AE13" s="568"/>
      <c r="AF13" s="568"/>
      <c r="AG13" s="568"/>
      <c r="AH13" s="568"/>
      <c r="AI13" s="569"/>
      <c r="AJ13" s="589" t="s">
        <v>802</v>
      </c>
      <c r="AK13" s="568"/>
      <c r="AL13" s="568"/>
      <c r="AM13" s="568"/>
      <c r="AN13" s="568"/>
      <c r="AO13" s="568"/>
      <c r="AP13" s="568"/>
      <c r="AQ13" s="568"/>
      <c r="AR13" s="568"/>
      <c r="AS13" s="569"/>
      <c r="AT13" s="575" t="s">
        <v>296</v>
      </c>
      <c r="AU13" s="576"/>
      <c r="AV13" s="576"/>
      <c r="AW13" s="576"/>
      <c r="AX13" s="577"/>
      <c r="AY13" s="149" t="s">
        <v>297</v>
      </c>
      <c r="AZ13" s="578" t="s">
        <v>298</v>
      </c>
      <c r="BA13" s="579"/>
    </row>
    <row r="14" spans="1:53" ht="69.95" customHeight="1" x14ac:dyDescent="0.25">
      <c r="A14" s="26" t="s">
        <v>234</v>
      </c>
      <c r="B14" s="89" t="s">
        <v>299</v>
      </c>
      <c r="C14" s="270" t="s">
        <v>236</v>
      </c>
      <c r="D14" s="105" t="s">
        <v>237</v>
      </c>
      <c r="E14" s="106" t="s">
        <v>238</v>
      </c>
      <c r="F14" s="188" t="s">
        <v>239</v>
      </c>
      <c r="G14" s="292" t="s">
        <v>240</v>
      </c>
      <c r="H14" s="99" t="s">
        <v>241</v>
      </c>
      <c r="I14" s="354" t="s">
        <v>242</v>
      </c>
      <c r="J14" s="188" t="s">
        <v>243</v>
      </c>
      <c r="K14" s="223" t="s">
        <v>244</v>
      </c>
      <c r="L14" s="79" t="s">
        <v>300</v>
      </c>
      <c r="M14" s="104" t="s">
        <v>301</v>
      </c>
      <c r="N14" s="339" t="s">
        <v>302</v>
      </c>
      <c r="O14" s="85" t="s">
        <v>247</v>
      </c>
      <c r="P14" s="90" t="s">
        <v>248</v>
      </c>
      <c r="Q14" s="85" t="s">
        <v>249</v>
      </c>
      <c r="R14" s="86" t="s">
        <v>250</v>
      </c>
      <c r="S14" s="85" t="s">
        <v>251</v>
      </c>
      <c r="T14" s="293" t="s">
        <v>303</v>
      </c>
      <c r="U14" s="90" t="s">
        <v>251</v>
      </c>
      <c r="V14" s="293" t="s">
        <v>253</v>
      </c>
      <c r="W14" s="250" t="s">
        <v>254</v>
      </c>
      <c r="X14" s="340" t="s">
        <v>102</v>
      </c>
      <c r="Y14" s="335" t="s">
        <v>255</v>
      </c>
      <c r="Z14" s="311" t="s">
        <v>256</v>
      </c>
      <c r="AA14" s="310" t="s">
        <v>257</v>
      </c>
      <c r="AB14" s="311" t="s">
        <v>258</v>
      </c>
      <c r="AC14" s="310" t="s">
        <v>259</v>
      </c>
      <c r="AD14" s="32" t="s">
        <v>260</v>
      </c>
      <c r="AE14" s="31" t="s">
        <v>261</v>
      </c>
      <c r="AF14" s="224" t="s">
        <v>262</v>
      </c>
      <c r="AG14" s="349" t="s">
        <v>263</v>
      </c>
      <c r="AH14" s="350" t="s">
        <v>264</v>
      </c>
      <c r="AI14" s="226" t="s">
        <v>265</v>
      </c>
      <c r="AJ14" s="393" t="s">
        <v>266</v>
      </c>
      <c r="AK14" s="389" t="s">
        <v>267</v>
      </c>
      <c r="AL14" s="391" t="s">
        <v>268</v>
      </c>
      <c r="AM14" s="396" t="s">
        <v>269</v>
      </c>
      <c r="AN14" s="395" t="s">
        <v>270</v>
      </c>
      <c r="AO14" s="261" t="s">
        <v>271</v>
      </c>
      <c r="AP14" s="393" t="s">
        <v>272</v>
      </c>
      <c r="AQ14" s="262" t="s">
        <v>273</v>
      </c>
      <c r="AR14" s="258" t="s">
        <v>274</v>
      </c>
      <c r="AS14" s="256" t="s">
        <v>275</v>
      </c>
      <c r="AT14" s="257" t="s">
        <v>304</v>
      </c>
      <c r="AU14" s="281" t="s">
        <v>277</v>
      </c>
      <c r="AV14" s="283" t="s">
        <v>305</v>
      </c>
      <c r="AW14" s="87" t="s">
        <v>279</v>
      </c>
      <c r="AX14" s="145" t="s">
        <v>280</v>
      </c>
      <c r="AY14" s="353" t="s">
        <v>281</v>
      </c>
      <c r="AZ14" s="219" t="s">
        <v>282</v>
      </c>
      <c r="BA14" s="219" t="s">
        <v>283</v>
      </c>
    </row>
    <row r="15" spans="1:53" ht="50.1" customHeight="1" x14ac:dyDescent="0.25">
      <c r="A15" s="17">
        <f>ROW(A1)</f>
        <v>1</v>
      </c>
      <c r="B15" s="228">
        <v>39951</v>
      </c>
      <c r="C15" s="221" t="s">
        <v>473</v>
      </c>
      <c r="D15" s="88" t="s">
        <v>594</v>
      </c>
      <c r="E15" s="100" t="s">
        <v>593</v>
      </c>
      <c r="F15" s="95" t="s">
        <v>390</v>
      </c>
      <c r="G15" s="114">
        <v>26</v>
      </c>
      <c r="H15" s="96" t="s">
        <v>382</v>
      </c>
      <c r="I15" s="97" t="s">
        <v>531</v>
      </c>
      <c r="J15" s="98" t="s">
        <v>379</v>
      </c>
      <c r="K15" s="101" t="s">
        <v>595</v>
      </c>
      <c r="L15" s="124" t="s">
        <v>473</v>
      </c>
      <c r="M15" s="333">
        <v>39926</v>
      </c>
      <c r="N15" s="341"/>
      <c r="O15" s="190"/>
      <c r="P15" s="191"/>
      <c r="Q15" s="190"/>
      <c r="R15" s="191"/>
      <c r="S15" s="294"/>
      <c r="T15" s="300"/>
      <c r="U15" s="306"/>
      <c r="V15" s="308"/>
      <c r="W15" s="248"/>
      <c r="X15" s="342"/>
      <c r="Y15" s="336"/>
      <c r="Z15" s="123"/>
      <c r="AA15" s="33"/>
      <c r="AB15" s="123"/>
      <c r="AC15" s="33"/>
      <c r="AD15" s="123"/>
      <c r="AE15" s="33"/>
      <c r="AF15" s="123"/>
      <c r="AG15" s="243"/>
      <c r="AH15" s="33"/>
      <c r="AI15" s="245"/>
      <c r="AJ15" s="125"/>
      <c r="AK15" s="91"/>
      <c r="AL15" s="126"/>
      <c r="AM15" s="91"/>
      <c r="AN15" s="91"/>
      <c r="AO15" s="197">
        <f>AJ15-AK15-AL15-AM15-AN15</f>
        <v>0</v>
      </c>
      <c r="AP15" s="126"/>
      <c r="AQ15" s="217"/>
      <c r="AR15" s="200"/>
      <c r="AS15" s="263"/>
      <c r="AT15" s="94" t="s">
        <v>473</v>
      </c>
      <c r="AU15" s="84"/>
      <c r="AV15" s="80"/>
      <c r="AW15" s="81"/>
      <c r="AX15" s="77"/>
      <c r="AY15" s="107" t="s">
        <v>596</v>
      </c>
      <c r="AZ15" s="220">
        <f t="shared" ref="AZ15:AZ78" si="0">M15-B15</f>
        <v>-25</v>
      </c>
      <c r="BA15" s="220">
        <f t="shared" ref="BA15:BA78" si="1">AU15-M15</f>
        <v>-39926</v>
      </c>
    </row>
    <row r="16" spans="1:53" ht="50.1" customHeight="1" x14ac:dyDescent="0.25">
      <c r="A16" s="17">
        <f t="shared" ref="A16:A79" si="2">ROW(A2)</f>
        <v>2</v>
      </c>
      <c r="B16" s="229">
        <v>43640</v>
      </c>
      <c r="C16" s="222" t="s">
        <v>473</v>
      </c>
      <c r="D16" s="112" t="s">
        <v>597</v>
      </c>
      <c r="E16" s="128" t="s">
        <v>598</v>
      </c>
      <c r="F16" s="183" t="s">
        <v>405</v>
      </c>
      <c r="G16" s="130">
        <v>38</v>
      </c>
      <c r="H16" s="131" t="s">
        <v>382</v>
      </c>
      <c r="I16" s="132" t="s">
        <v>531</v>
      </c>
      <c r="J16" s="189" t="s">
        <v>379</v>
      </c>
      <c r="K16" s="133" t="s">
        <v>599</v>
      </c>
      <c r="L16" s="134" t="s">
        <v>473</v>
      </c>
      <c r="M16" s="334">
        <v>43757</v>
      </c>
      <c r="N16" s="343"/>
      <c r="O16" s="192"/>
      <c r="P16" s="191"/>
      <c r="Q16" s="192"/>
      <c r="R16" s="191"/>
      <c r="S16" s="295" t="s">
        <v>459</v>
      </c>
      <c r="T16" s="301" t="s">
        <v>600</v>
      </c>
      <c r="U16" s="306"/>
      <c r="V16" s="308"/>
      <c r="W16" s="249" t="s">
        <v>472</v>
      </c>
      <c r="X16" s="369">
        <v>44022</v>
      </c>
      <c r="Y16" s="337"/>
      <c r="Z16" s="33"/>
      <c r="AA16" s="83"/>
      <c r="AB16" s="33"/>
      <c r="AC16" s="83"/>
      <c r="AD16" s="33"/>
      <c r="AE16" s="83"/>
      <c r="AF16" s="33"/>
      <c r="AG16" s="244"/>
      <c r="AH16" s="83"/>
      <c r="AI16" s="246"/>
      <c r="AJ16" s="102"/>
      <c r="AK16" s="92"/>
      <c r="AL16" s="91"/>
      <c r="AM16" s="92"/>
      <c r="AN16" s="351"/>
      <c r="AO16" s="197">
        <f t="shared" ref="AO16:AO79" si="3">AJ16-AK16-AL16-AM16-AN16</f>
        <v>0</v>
      </c>
      <c r="AP16" s="91"/>
      <c r="AQ16" s="217"/>
      <c r="AR16" s="103"/>
      <c r="AS16" s="264"/>
      <c r="AT16" s="94"/>
      <c r="AU16" s="84"/>
      <c r="AV16" s="136"/>
      <c r="AW16" s="81"/>
      <c r="AX16" s="137"/>
      <c r="AY16" s="138" t="s">
        <v>601</v>
      </c>
      <c r="AZ16" s="220">
        <f t="shared" si="0"/>
        <v>117</v>
      </c>
      <c r="BA16" s="220">
        <f t="shared" si="1"/>
        <v>-43757</v>
      </c>
    </row>
    <row r="17" spans="1:53" ht="50.1" customHeight="1" x14ac:dyDescent="0.25">
      <c r="A17" s="17">
        <f t="shared" si="2"/>
        <v>3</v>
      </c>
      <c r="B17" s="228">
        <v>41709</v>
      </c>
      <c r="C17" s="221" t="s">
        <v>473</v>
      </c>
      <c r="D17" s="88" t="s">
        <v>603</v>
      </c>
      <c r="E17" s="100" t="s">
        <v>602</v>
      </c>
      <c r="F17" s="95" t="s">
        <v>461</v>
      </c>
      <c r="G17" s="114">
        <v>13</v>
      </c>
      <c r="H17" s="96" t="s">
        <v>382</v>
      </c>
      <c r="I17" s="97" t="s">
        <v>531</v>
      </c>
      <c r="J17" s="98" t="s">
        <v>379</v>
      </c>
      <c r="K17" s="101" t="s">
        <v>604</v>
      </c>
      <c r="L17" s="124" t="s">
        <v>462</v>
      </c>
      <c r="M17" s="333">
        <v>42619</v>
      </c>
      <c r="N17" s="341"/>
      <c r="O17" s="190"/>
      <c r="P17" s="191"/>
      <c r="Q17" s="190"/>
      <c r="R17" s="191"/>
      <c r="S17" s="294"/>
      <c r="T17" s="300"/>
      <c r="U17" s="306"/>
      <c r="V17" s="308"/>
      <c r="W17" s="248"/>
      <c r="X17" s="342"/>
      <c r="Y17" s="336"/>
      <c r="Z17" s="123"/>
      <c r="AA17" s="33"/>
      <c r="AB17" s="123"/>
      <c r="AC17" s="33"/>
      <c r="AD17" s="123"/>
      <c r="AE17" s="33"/>
      <c r="AF17" s="123"/>
      <c r="AG17" s="243"/>
      <c r="AH17" s="33"/>
      <c r="AI17" s="245"/>
      <c r="AJ17" s="125"/>
      <c r="AK17" s="91"/>
      <c r="AL17" s="126"/>
      <c r="AM17" s="91"/>
      <c r="AN17" s="91"/>
      <c r="AO17" s="197">
        <f t="shared" si="3"/>
        <v>0</v>
      </c>
      <c r="AP17" s="126"/>
      <c r="AQ17" s="217"/>
      <c r="AR17" s="200"/>
      <c r="AS17" s="263"/>
      <c r="AT17" s="94"/>
      <c r="AU17" s="84"/>
      <c r="AV17" s="80"/>
      <c r="AW17" s="81"/>
      <c r="AX17" s="77"/>
      <c r="AY17" s="107" t="s">
        <v>605</v>
      </c>
      <c r="AZ17" s="220">
        <f t="shared" si="0"/>
        <v>910</v>
      </c>
      <c r="BA17" s="220">
        <f t="shared" si="1"/>
        <v>-42619</v>
      </c>
    </row>
    <row r="18" spans="1:53" ht="50.1" customHeight="1" x14ac:dyDescent="0.25">
      <c r="A18" s="17">
        <f t="shared" si="2"/>
        <v>4</v>
      </c>
      <c r="B18" s="229">
        <v>41148</v>
      </c>
      <c r="C18" s="222" t="s">
        <v>473</v>
      </c>
      <c r="D18" s="112" t="s">
        <v>607</v>
      </c>
      <c r="E18" s="128" t="s">
        <v>606</v>
      </c>
      <c r="F18" s="183" t="s">
        <v>410</v>
      </c>
      <c r="G18" s="289">
        <v>35</v>
      </c>
      <c r="H18" s="131" t="s">
        <v>382</v>
      </c>
      <c r="I18" s="132" t="s">
        <v>531</v>
      </c>
      <c r="J18" s="189" t="s">
        <v>379</v>
      </c>
      <c r="K18" s="133" t="s">
        <v>604</v>
      </c>
      <c r="L18" s="134" t="s">
        <v>473</v>
      </c>
      <c r="M18" s="334">
        <v>41170</v>
      </c>
      <c r="N18" s="343"/>
      <c r="O18" s="192"/>
      <c r="P18" s="191"/>
      <c r="Q18" s="192"/>
      <c r="R18" s="191"/>
      <c r="S18" s="295"/>
      <c r="T18" s="301"/>
      <c r="U18" s="306"/>
      <c r="V18" s="308"/>
      <c r="W18" s="249"/>
      <c r="X18" s="344"/>
      <c r="Y18" s="337"/>
      <c r="Z18" s="33"/>
      <c r="AA18" s="83"/>
      <c r="AB18" s="33"/>
      <c r="AC18" s="83"/>
      <c r="AD18" s="33"/>
      <c r="AE18" s="83"/>
      <c r="AF18" s="33"/>
      <c r="AG18" s="244"/>
      <c r="AH18" s="83"/>
      <c r="AI18" s="246"/>
      <c r="AJ18" s="102"/>
      <c r="AK18" s="92"/>
      <c r="AL18" s="91"/>
      <c r="AM18" s="92"/>
      <c r="AN18" s="351"/>
      <c r="AO18" s="197">
        <f t="shared" si="3"/>
        <v>0</v>
      </c>
      <c r="AP18" s="91"/>
      <c r="AQ18" s="217"/>
      <c r="AR18" s="103"/>
      <c r="AS18" s="264"/>
      <c r="AT18" s="94"/>
      <c r="AU18" s="84"/>
      <c r="AV18" s="136"/>
      <c r="AW18" s="81"/>
      <c r="AX18" s="137"/>
      <c r="AY18" s="138"/>
      <c r="AZ18" s="220">
        <f t="shared" si="0"/>
        <v>22</v>
      </c>
      <c r="BA18" s="220">
        <f t="shared" si="1"/>
        <v>-41170</v>
      </c>
    </row>
    <row r="19" spans="1:53" ht="50.1" customHeight="1" x14ac:dyDescent="0.25">
      <c r="A19" s="17">
        <f t="shared" si="2"/>
        <v>5</v>
      </c>
      <c r="B19" s="228">
        <v>43969</v>
      </c>
      <c r="C19" s="221" t="s">
        <v>472</v>
      </c>
      <c r="D19" s="88" t="s">
        <v>609</v>
      </c>
      <c r="E19" s="100" t="s">
        <v>608</v>
      </c>
      <c r="F19" s="95" t="s">
        <v>435</v>
      </c>
      <c r="G19" s="114">
        <v>25</v>
      </c>
      <c r="H19" s="96" t="s">
        <v>382</v>
      </c>
      <c r="I19" s="97" t="s">
        <v>531</v>
      </c>
      <c r="J19" s="98" t="s">
        <v>379</v>
      </c>
      <c r="K19" s="101" t="s">
        <v>610</v>
      </c>
      <c r="L19" s="124" t="s">
        <v>473</v>
      </c>
      <c r="M19" s="333">
        <v>44004</v>
      </c>
      <c r="N19" s="341">
        <v>44020</v>
      </c>
      <c r="O19" s="190"/>
      <c r="P19" s="191"/>
      <c r="Q19" s="190" t="s">
        <v>459</v>
      </c>
      <c r="R19" s="191"/>
      <c r="S19" s="294" t="s">
        <v>459</v>
      </c>
      <c r="T19" s="300" t="s">
        <v>611</v>
      </c>
      <c r="U19" s="306" t="s">
        <v>459</v>
      </c>
      <c r="V19" s="308" t="s">
        <v>612</v>
      </c>
      <c r="W19" s="248"/>
      <c r="X19" s="342"/>
      <c r="Y19" s="336"/>
      <c r="Z19" s="123"/>
      <c r="AA19" s="33"/>
      <c r="AB19" s="123"/>
      <c r="AC19" s="33"/>
      <c r="AD19" s="123"/>
      <c r="AE19" s="33"/>
      <c r="AF19" s="123"/>
      <c r="AG19" s="243"/>
      <c r="AH19" s="33"/>
      <c r="AI19" s="245"/>
      <c r="AJ19" s="125"/>
      <c r="AK19" s="91"/>
      <c r="AL19" s="126"/>
      <c r="AM19" s="91"/>
      <c r="AN19" s="91"/>
      <c r="AO19" s="197">
        <f t="shared" si="3"/>
        <v>0</v>
      </c>
      <c r="AP19" s="126"/>
      <c r="AQ19" s="217"/>
      <c r="AR19" s="200"/>
      <c r="AS19" s="263"/>
      <c r="AT19" s="94"/>
      <c r="AU19" s="84"/>
      <c r="AV19" s="80"/>
      <c r="AW19" s="81"/>
      <c r="AX19" s="77"/>
      <c r="AY19" s="107"/>
      <c r="AZ19" s="220">
        <f t="shared" si="0"/>
        <v>35</v>
      </c>
      <c r="BA19" s="220">
        <f t="shared" si="1"/>
        <v>-44004</v>
      </c>
    </row>
    <row r="20" spans="1:53" ht="50.1" customHeight="1" x14ac:dyDescent="0.25">
      <c r="A20" s="17">
        <f t="shared" si="2"/>
        <v>6</v>
      </c>
      <c r="B20" s="229">
        <v>43902</v>
      </c>
      <c r="C20" s="222" t="s">
        <v>473</v>
      </c>
      <c r="D20" s="112" t="s">
        <v>614</v>
      </c>
      <c r="E20" s="128" t="s">
        <v>613</v>
      </c>
      <c r="F20" s="183" t="s">
        <v>447</v>
      </c>
      <c r="G20" s="130">
        <v>51</v>
      </c>
      <c r="H20" s="131" t="s">
        <v>383</v>
      </c>
      <c r="I20" s="132" t="s">
        <v>531</v>
      </c>
      <c r="J20" s="189" t="s">
        <v>379</v>
      </c>
      <c r="K20" s="133" t="s">
        <v>615</v>
      </c>
      <c r="L20" s="134" t="s">
        <v>473</v>
      </c>
      <c r="M20" s="334">
        <v>40252</v>
      </c>
      <c r="N20" s="343"/>
      <c r="O20" s="192"/>
      <c r="P20" s="191"/>
      <c r="Q20" s="192"/>
      <c r="R20" s="191"/>
      <c r="S20" s="295"/>
      <c r="T20" s="301"/>
      <c r="U20" s="306"/>
      <c r="V20" s="308"/>
      <c r="W20" s="249"/>
      <c r="X20" s="344"/>
      <c r="Y20" s="337"/>
      <c r="Z20" s="33"/>
      <c r="AA20" s="83"/>
      <c r="AB20" s="33"/>
      <c r="AC20" s="83"/>
      <c r="AD20" s="33"/>
      <c r="AE20" s="83"/>
      <c r="AF20" s="33"/>
      <c r="AG20" s="244"/>
      <c r="AH20" s="83"/>
      <c r="AI20" s="246"/>
      <c r="AJ20" s="102"/>
      <c r="AK20" s="92"/>
      <c r="AL20" s="91"/>
      <c r="AM20" s="92"/>
      <c r="AN20" s="351"/>
      <c r="AO20" s="197">
        <f t="shared" si="3"/>
        <v>0</v>
      </c>
      <c r="AP20" s="91"/>
      <c r="AQ20" s="217"/>
      <c r="AR20" s="103"/>
      <c r="AS20" s="264"/>
      <c r="AT20" s="94"/>
      <c r="AU20" s="84"/>
      <c r="AV20" s="136"/>
      <c r="AW20" s="81"/>
      <c r="AX20" s="137"/>
      <c r="AY20" s="138"/>
      <c r="AZ20" s="220">
        <f t="shared" si="0"/>
        <v>-3650</v>
      </c>
      <c r="BA20" s="220">
        <f t="shared" si="1"/>
        <v>-40252</v>
      </c>
    </row>
    <row r="21" spans="1:53" ht="50.1" customHeight="1" x14ac:dyDescent="0.25">
      <c r="A21" s="17">
        <f t="shared" si="2"/>
        <v>7</v>
      </c>
      <c r="B21" s="228">
        <v>41548</v>
      </c>
      <c r="C21" s="221" t="s">
        <v>473</v>
      </c>
      <c r="D21" s="88" t="s">
        <v>617</v>
      </c>
      <c r="E21" s="100" t="s">
        <v>616</v>
      </c>
      <c r="F21" s="95" t="s">
        <v>461</v>
      </c>
      <c r="G21" s="114">
        <v>56</v>
      </c>
      <c r="H21" s="96" t="s">
        <v>383</v>
      </c>
      <c r="I21" s="97" t="s">
        <v>531</v>
      </c>
      <c r="J21" s="98" t="s">
        <v>379</v>
      </c>
      <c r="K21" s="101" t="s">
        <v>618</v>
      </c>
      <c r="L21" s="124" t="s">
        <v>473</v>
      </c>
      <c r="M21" s="333">
        <v>41822</v>
      </c>
      <c r="N21" s="341"/>
      <c r="O21" s="190"/>
      <c r="P21" s="191"/>
      <c r="Q21" s="190"/>
      <c r="R21" s="191"/>
      <c r="S21" s="294"/>
      <c r="T21" s="300"/>
      <c r="U21" s="306"/>
      <c r="V21" s="308"/>
      <c r="W21" s="248"/>
      <c r="X21" s="342"/>
      <c r="Y21" s="336"/>
      <c r="Z21" s="123"/>
      <c r="AA21" s="33"/>
      <c r="AB21" s="123"/>
      <c r="AC21" s="33"/>
      <c r="AD21" s="123"/>
      <c r="AE21" s="33"/>
      <c r="AF21" s="123"/>
      <c r="AG21" s="243"/>
      <c r="AH21" s="33"/>
      <c r="AI21" s="245"/>
      <c r="AJ21" s="125"/>
      <c r="AK21" s="91"/>
      <c r="AL21" s="126"/>
      <c r="AM21" s="91"/>
      <c r="AN21" s="91"/>
      <c r="AO21" s="197">
        <f t="shared" si="3"/>
        <v>0</v>
      </c>
      <c r="AP21" s="126"/>
      <c r="AQ21" s="217"/>
      <c r="AR21" s="200"/>
      <c r="AS21" s="263"/>
      <c r="AT21" s="94"/>
      <c r="AU21" s="84"/>
      <c r="AV21" s="80"/>
      <c r="AW21" s="81"/>
      <c r="AX21" s="77"/>
      <c r="AY21" s="107"/>
      <c r="AZ21" s="220">
        <f t="shared" si="0"/>
        <v>274</v>
      </c>
      <c r="BA21" s="220">
        <f t="shared" si="1"/>
        <v>-41822</v>
      </c>
    </row>
    <row r="22" spans="1:53" ht="50.1" customHeight="1" x14ac:dyDescent="0.25">
      <c r="A22" s="17">
        <f t="shared" si="2"/>
        <v>8</v>
      </c>
      <c r="B22" s="229">
        <v>40452</v>
      </c>
      <c r="C22" s="222" t="s">
        <v>473</v>
      </c>
      <c r="D22" s="112" t="s">
        <v>620</v>
      </c>
      <c r="E22" s="128" t="s">
        <v>619</v>
      </c>
      <c r="F22" s="183" t="s">
        <v>388</v>
      </c>
      <c r="G22" s="130">
        <v>41</v>
      </c>
      <c r="H22" s="131" t="s">
        <v>382</v>
      </c>
      <c r="I22" s="132" t="s">
        <v>531</v>
      </c>
      <c r="J22" s="189" t="s">
        <v>379</v>
      </c>
      <c r="K22" s="133" t="s">
        <v>604</v>
      </c>
      <c r="L22" s="134" t="s">
        <v>473</v>
      </c>
      <c r="M22" s="334">
        <v>40479</v>
      </c>
      <c r="N22" s="343"/>
      <c r="O22" s="192"/>
      <c r="P22" s="191"/>
      <c r="Q22" s="192"/>
      <c r="R22" s="191"/>
      <c r="S22" s="295"/>
      <c r="T22" s="301"/>
      <c r="U22" s="306"/>
      <c r="V22" s="308"/>
      <c r="W22" s="249"/>
      <c r="X22" s="344"/>
      <c r="Y22" s="337"/>
      <c r="Z22" s="33"/>
      <c r="AA22" s="83"/>
      <c r="AB22" s="33"/>
      <c r="AC22" s="83"/>
      <c r="AD22" s="33"/>
      <c r="AE22" s="83"/>
      <c r="AF22" s="33"/>
      <c r="AG22" s="244"/>
      <c r="AH22" s="83"/>
      <c r="AI22" s="246"/>
      <c r="AJ22" s="102"/>
      <c r="AK22" s="92"/>
      <c r="AL22" s="91"/>
      <c r="AM22" s="92"/>
      <c r="AN22" s="351"/>
      <c r="AO22" s="197">
        <f t="shared" si="3"/>
        <v>0</v>
      </c>
      <c r="AP22" s="91"/>
      <c r="AQ22" s="217"/>
      <c r="AR22" s="103"/>
      <c r="AS22" s="264"/>
      <c r="AT22" s="94"/>
      <c r="AU22" s="84"/>
      <c r="AV22" s="136"/>
      <c r="AW22" s="81"/>
      <c r="AX22" s="137"/>
      <c r="AY22" s="138"/>
      <c r="AZ22" s="220">
        <f t="shared" si="0"/>
        <v>27</v>
      </c>
      <c r="BA22" s="220">
        <f t="shared" si="1"/>
        <v>-40479</v>
      </c>
    </row>
    <row r="23" spans="1:53" ht="50.1" customHeight="1" x14ac:dyDescent="0.25">
      <c r="A23" s="17">
        <f t="shared" si="2"/>
        <v>9</v>
      </c>
      <c r="B23" s="228">
        <v>40989</v>
      </c>
      <c r="C23" s="221" t="s">
        <v>473</v>
      </c>
      <c r="D23" s="88" t="s">
        <v>622</v>
      </c>
      <c r="E23" s="100" t="s">
        <v>621</v>
      </c>
      <c r="F23" s="95" t="s">
        <v>399</v>
      </c>
      <c r="G23" s="114">
        <v>25</v>
      </c>
      <c r="H23" s="96" t="s">
        <v>383</v>
      </c>
      <c r="I23" s="97" t="s">
        <v>531</v>
      </c>
      <c r="J23" s="98" t="s">
        <v>379</v>
      </c>
      <c r="K23" s="101" t="s">
        <v>623</v>
      </c>
      <c r="L23" s="124" t="s">
        <v>473</v>
      </c>
      <c r="M23" s="333">
        <v>40989</v>
      </c>
      <c r="N23" s="341"/>
      <c r="O23" s="190"/>
      <c r="P23" s="191"/>
      <c r="Q23" s="190"/>
      <c r="R23" s="191"/>
      <c r="S23" s="294"/>
      <c r="T23" s="300"/>
      <c r="U23" s="306"/>
      <c r="V23" s="308"/>
      <c r="W23" s="248"/>
      <c r="X23" s="342"/>
      <c r="Y23" s="336"/>
      <c r="Z23" s="123"/>
      <c r="AA23" s="33"/>
      <c r="AB23" s="123"/>
      <c r="AC23" s="33"/>
      <c r="AD23" s="123"/>
      <c r="AE23" s="33"/>
      <c r="AF23" s="123"/>
      <c r="AG23" s="243"/>
      <c r="AH23" s="33"/>
      <c r="AI23" s="245"/>
      <c r="AJ23" s="125"/>
      <c r="AK23" s="91"/>
      <c r="AL23" s="126"/>
      <c r="AM23" s="91"/>
      <c r="AN23" s="91"/>
      <c r="AO23" s="197">
        <f t="shared" si="3"/>
        <v>0</v>
      </c>
      <c r="AP23" s="126"/>
      <c r="AQ23" s="217"/>
      <c r="AR23" s="200"/>
      <c r="AS23" s="263"/>
      <c r="AT23" s="94"/>
      <c r="AU23" s="84"/>
      <c r="AV23" s="80"/>
      <c r="AW23" s="81"/>
      <c r="AX23" s="77"/>
      <c r="AY23" s="107"/>
      <c r="AZ23" s="220">
        <f t="shared" si="0"/>
        <v>0</v>
      </c>
      <c r="BA23" s="220">
        <f t="shared" si="1"/>
        <v>-40989</v>
      </c>
    </row>
    <row r="24" spans="1:53" ht="50.1" customHeight="1" x14ac:dyDescent="0.25">
      <c r="A24" s="17">
        <f t="shared" si="2"/>
        <v>10</v>
      </c>
      <c r="B24" s="229">
        <v>42586</v>
      </c>
      <c r="C24" s="222" t="s">
        <v>473</v>
      </c>
      <c r="D24" s="112" t="s">
        <v>620</v>
      </c>
      <c r="E24" s="128" t="s">
        <v>624</v>
      </c>
      <c r="F24" s="183" t="s">
        <v>388</v>
      </c>
      <c r="G24" s="130">
        <v>76</v>
      </c>
      <c r="H24" s="131" t="s">
        <v>383</v>
      </c>
      <c r="I24" s="132" t="s">
        <v>531</v>
      </c>
      <c r="J24" s="189" t="s">
        <v>379</v>
      </c>
      <c r="K24" s="133" t="s">
        <v>625</v>
      </c>
      <c r="L24" s="134" t="s">
        <v>473</v>
      </c>
      <c r="M24" s="334">
        <v>42608</v>
      </c>
      <c r="N24" s="343">
        <v>44035</v>
      </c>
      <c r="O24" s="192"/>
      <c r="P24" s="191"/>
      <c r="Q24" s="192"/>
      <c r="R24" s="191" t="s">
        <v>472</v>
      </c>
      <c r="S24" s="295" t="s">
        <v>472</v>
      </c>
      <c r="T24" s="301" t="s">
        <v>626</v>
      </c>
      <c r="U24" s="306" t="s">
        <v>459</v>
      </c>
      <c r="V24" s="308" t="s">
        <v>627</v>
      </c>
      <c r="W24" s="249"/>
      <c r="X24" s="344"/>
      <c r="Y24" s="337"/>
      <c r="Z24" s="33"/>
      <c r="AA24" s="83"/>
      <c r="AB24" s="33"/>
      <c r="AC24" s="83"/>
      <c r="AD24" s="33"/>
      <c r="AE24" s="83"/>
      <c r="AF24" s="33"/>
      <c r="AG24" s="244"/>
      <c r="AH24" s="83"/>
      <c r="AI24" s="246"/>
      <c r="AJ24" s="102"/>
      <c r="AK24" s="92"/>
      <c r="AL24" s="91"/>
      <c r="AM24" s="92"/>
      <c r="AN24" s="351"/>
      <c r="AO24" s="197">
        <f t="shared" si="3"/>
        <v>0</v>
      </c>
      <c r="AP24" s="91"/>
      <c r="AQ24" s="217"/>
      <c r="AR24" s="103"/>
      <c r="AS24" s="264"/>
      <c r="AT24" s="94"/>
      <c r="AU24" s="84"/>
      <c r="AV24" s="136"/>
      <c r="AW24" s="81"/>
      <c r="AX24" s="137"/>
      <c r="AY24" s="138"/>
      <c r="AZ24" s="220">
        <f t="shared" si="0"/>
        <v>22</v>
      </c>
      <c r="BA24" s="220">
        <f t="shared" si="1"/>
        <v>-42608</v>
      </c>
    </row>
    <row r="25" spans="1:53" ht="50.1" customHeight="1" x14ac:dyDescent="0.25">
      <c r="A25" s="17">
        <f t="shared" si="2"/>
        <v>11</v>
      </c>
      <c r="B25" s="228">
        <v>41526</v>
      </c>
      <c r="C25" s="221" t="s">
        <v>472</v>
      </c>
      <c r="D25" s="88" t="s">
        <v>629</v>
      </c>
      <c r="E25" s="100" t="s">
        <v>628</v>
      </c>
      <c r="F25" s="95" t="s">
        <v>388</v>
      </c>
      <c r="G25" s="114">
        <v>34</v>
      </c>
      <c r="H25" s="96" t="s">
        <v>382</v>
      </c>
      <c r="I25" s="97" t="s">
        <v>531</v>
      </c>
      <c r="J25" s="98" t="s">
        <v>379</v>
      </c>
      <c r="K25" s="101" t="s">
        <v>630</v>
      </c>
      <c r="L25" s="124" t="s">
        <v>473</v>
      </c>
      <c r="M25" s="333">
        <v>41583</v>
      </c>
      <c r="N25" s="341">
        <v>44033</v>
      </c>
      <c r="O25" s="190"/>
      <c r="P25" s="191" t="s">
        <v>472</v>
      </c>
      <c r="Q25" s="190"/>
      <c r="R25" s="191"/>
      <c r="S25" s="294" t="s">
        <v>459</v>
      </c>
      <c r="T25" s="300" t="s">
        <v>631</v>
      </c>
      <c r="U25" s="306" t="s">
        <v>459</v>
      </c>
      <c r="V25" s="308" t="s">
        <v>632</v>
      </c>
      <c r="W25" s="248"/>
      <c r="X25" s="342"/>
      <c r="Y25" s="336"/>
      <c r="Z25" s="123"/>
      <c r="AA25" s="33"/>
      <c r="AB25" s="123"/>
      <c r="AC25" s="33"/>
      <c r="AD25" s="123"/>
      <c r="AE25" s="33"/>
      <c r="AF25" s="123"/>
      <c r="AG25" s="243"/>
      <c r="AH25" s="33"/>
      <c r="AI25" s="245"/>
      <c r="AJ25" s="125"/>
      <c r="AK25" s="91"/>
      <c r="AL25" s="126"/>
      <c r="AM25" s="91"/>
      <c r="AN25" s="91"/>
      <c r="AO25" s="197">
        <f t="shared" si="3"/>
        <v>0</v>
      </c>
      <c r="AP25" s="126"/>
      <c r="AQ25" s="217"/>
      <c r="AR25" s="200"/>
      <c r="AS25" s="263"/>
      <c r="AT25" s="94"/>
      <c r="AU25" s="84"/>
      <c r="AV25" s="80"/>
      <c r="AW25" s="81"/>
      <c r="AX25" s="77"/>
      <c r="AY25" s="107"/>
      <c r="AZ25" s="220">
        <f t="shared" si="0"/>
        <v>57</v>
      </c>
      <c r="BA25" s="220">
        <f t="shared" si="1"/>
        <v>-41583</v>
      </c>
    </row>
    <row r="26" spans="1:53" ht="50.1" customHeight="1" x14ac:dyDescent="0.25">
      <c r="A26" s="17">
        <f t="shared" si="2"/>
        <v>12</v>
      </c>
      <c r="B26" s="229">
        <v>42318</v>
      </c>
      <c r="C26" s="222" t="s">
        <v>473</v>
      </c>
      <c r="D26" s="112" t="s">
        <v>634</v>
      </c>
      <c r="E26" s="128" t="s">
        <v>633</v>
      </c>
      <c r="F26" s="183" t="s">
        <v>435</v>
      </c>
      <c r="G26" s="130">
        <v>57</v>
      </c>
      <c r="H26" s="131" t="s">
        <v>382</v>
      </c>
      <c r="I26" s="132" t="s">
        <v>531</v>
      </c>
      <c r="J26" s="189" t="s">
        <v>379</v>
      </c>
      <c r="K26" s="133" t="s">
        <v>604</v>
      </c>
      <c r="L26" s="134" t="s">
        <v>473</v>
      </c>
      <c r="M26" s="334">
        <v>42324</v>
      </c>
      <c r="N26" s="343"/>
      <c r="O26" s="192"/>
      <c r="P26" s="191"/>
      <c r="Q26" s="192"/>
      <c r="R26" s="191"/>
      <c r="S26" s="295"/>
      <c r="T26" s="301"/>
      <c r="U26" s="306"/>
      <c r="V26" s="308"/>
      <c r="W26" s="249"/>
      <c r="X26" s="344"/>
      <c r="Y26" s="337"/>
      <c r="Z26" s="33"/>
      <c r="AA26" s="83"/>
      <c r="AB26" s="33"/>
      <c r="AC26" s="83"/>
      <c r="AD26" s="33"/>
      <c r="AE26" s="83"/>
      <c r="AF26" s="33"/>
      <c r="AG26" s="244"/>
      <c r="AH26" s="83"/>
      <c r="AI26" s="246"/>
      <c r="AJ26" s="102"/>
      <c r="AK26" s="92"/>
      <c r="AL26" s="91"/>
      <c r="AM26" s="92"/>
      <c r="AN26" s="351"/>
      <c r="AO26" s="197">
        <f t="shared" si="3"/>
        <v>0</v>
      </c>
      <c r="AP26" s="91"/>
      <c r="AQ26" s="217"/>
      <c r="AR26" s="103"/>
      <c r="AS26" s="264"/>
      <c r="AT26" s="94"/>
      <c r="AU26" s="84"/>
      <c r="AV26" s="136"/>
      <c r="AW26" s="81"/>
      <c r="AX26" s="137"/>
      <c r="AY26" s="138"/>
      <c r="AZ26" s="220">
        <f t="shared" si="0"/>
        <v>6</v>
      </c>
      <c r="BA26" s="220">
        <f t="shared" si="1"/>
        <v>-42324</v>
      </c>
    </row>
    <row r="27" spans="1:53" ht="50.1" customHeight="1" x14ac:dyDescent="0.25">
      <c r="A27" s="17">
        <f t="shared" si="2"/>
        <v>13</v>
      </c>
      <c r="B27" s="228">
        <v>42590</v>
      </c>
      <c r="C27" s="221" t="s">
        <v>473</v>
      </c>
      <c r="D27" s="88" t="s">
        <v>636</v>
      </c>
      <c r="E27" s="100" t="s">
        <v>635</v>
      </c>
      <c r="F27" s="95" t="s">
        <v>390</v>
      </c>
      <c r="G27" s="114">
        <v>36</v>
      </c>
      <c r="H27" s="96" t="s">
        <v>382</v>
      </c>
      <c r="I27" s="97" t="s">
        <v>531</v>
      </c>
      <c r="J27" s="98" t="s">
        <v>379</v>
      </c>
      <c r="K27" s="101" t="s">
        <v>637</v>
      </c>
      <c r="L27" s="124" t="s">
        <v>473</v>
      </c>
      <c r="M27" s="333">
        <v>42590</v>
      </c>
      <c r="N27" s="341">
        <v>44039</v>
      </c>
      <c r="O27" s="190"/>
      <c r="P27" s="191" t="s">
        <v>472</v>
      </c>
      <c r="Q27" s="190"/>
      <c r="R27" s="191"/>
      <c r="S27" s="294"/>
      <c r="T27" s="300"/>
      <c r="U27" s="306"/>
      <c r="V27" s="308"/>
      <c r="W27" s="248"/>
      <c r="X27" s="342"/>
      <c r="Y27" s="336"/>
      <c r="Z27" s="123"/>
      <c r="AA27" s="33"/>
      <c r="AB27" s="123"/>
      <c r="AC27" s="33"/>
      <c r="AD27" s="123"/>
      <c r="AE27" s="33"/>
      <c r="AF27" s="123"/>
      <c r="AG27" s="243"/>
      <c r="AH27" s="33"/>
      <c r="AI27" s="245"/>
      <c r="AJ27" s="125"/>
      <c r="AK27" s="91"/>
      <c r="AL27" s="126"/>
      <c r="AM27" s="91"/>
      <c r="AN27" s="91"/>
      <c r="AO27" s="197">
        <f t="shared" si="3"/>
        <v>0</v>
      </c>
      <c r="AP27" s="126"/>
      <c r="AQ27" s="217"/>
      <c r="AR27" s="200"/>
      <c r="AS27" s="263"/>
      <c r="AT27" s="94"/>
      <c r="AU27" s="84"/>
      <c r="AV27" s="80"/>
      <c r="AW27" s="81"/>
      <c r="AX27" s="77"/>
      <c r="AY27" s="107"/>
      <c r="AZ27" s="220">
        <f t="shared" si="0"/>
        <v>0</v>
      </c>
      <c r="BA27" s="220">
        <f t="shared" si="1"/>
        <v>-42590</v>
      </c>
    </row>
    <row r="28" spans="1:53" ht="50.1" customHeight="1" x14ac:dyDescent="0.25">
      <c r="A28" s="17">
        <f t="shared" si="2"/>
        <v>14</v>
      </c>
      <c r="B28" s="229">
        <v>40023</v>
      </c>
      <c r="C28" s="222" t="s">
        <v>473</v>
      </c>
      <c r="D28" s="112" t="s">
        <v>638</v>
      </c>
      <c r="E28" s="128" t="s">
        <v>639</v>
      </c>
      <c r="F28" s="183" t="s">
        <v>435</v>
      </c>
      <c r="G28" s="130">
        <v>37</v>
      </c>
      <c r="H28" s="131" t="s">
        <v>382</v>
      </c>
      <c r="I28" s="132" t="s">
        <v>531</v>
      </c>
      <c r="J28" s="189" t="s">
        <v>379</v>
      </c>
      <c r="K28" s="133" t="s">
        <v>644</v>
      </c>
      <c r="L28" s="134" t="s">
        <v>473</v>
      </c>
      <c r="M28" s="334">
        <v>40023</v>
      </c>
      <c r="N28" s="343">
        <v>44034</v>
      </c>
      <c r="O28" s="192"/>
      <c r="P28" s="191"/>
      <c r="Q28" s="192"/>
      <c r="R28" s="191"/>
      <c r="S28" s="295" t="s">
        <v>472</v>
      </c>
      <c r="T28" s="301" t="s">
        <v>640</v>
      </c>
      <c r="U28" s="306" t="s">
        <v>472</v>
      </c>
      <c r="V28" s="308" t="s">
        <v>641</v>
      </c>
      <c r="W28" s="249"/>
      <c r="X28" s="344"/>
      <c r="Y28" s="337"/>
      <c r="Z28" s="33"/>
      <c r="AA28" s="83"/>
      <c r="AB28" s="33"/>
      <c r="AC28" s="83"/>
      <c r="AD28" s="33"/>
      <c r="AE28" s="83"/>
      <c r="AF28" s="33"/>
      <c r="AG28" s="244"/>
      <c r="AH28" s="83"/>
      <c r="AI28" s="246"/>
      <c r="AJ28" s="102"/>
      <c r="AK28" s="92"/>
      <c r="AL28" s="91"/>
      <c r="AM28" s="92"/>
      <c r="AN28" s="351"/>
      <c r="AO28" s="197">
        <f t="shared" si="3"/>
        <v>0</v>
      </c>
      <c r="AP28" s="91"/>
      <c r="AQ28" s="217"/>
      <c r="AR28" s="103"/>
      <c r="AS28" s="264"/>
      <c r="AT28" s="94"/>
      <c r="AU28" s="84"/>
      <c r="AV28" s="136"/>
      <c r="AW28" s="81"/>
      <c r="AX28" s="137"/>
      <c r="AY28" s="138"/>
      <c r="AZ28" s="220">
        <f t="shared" si="0"/>
        <v>0</v>
      </c>
      <c r="BA28" s="220">
        <f t="shared" si="1"/>
        <v>-40023</v>
      </c>
    </row>
    <row r="29" spans="1:53" ht="50.1" customHeight="1" x14ac:dyDescent="0.25">
      <c r="A29" s="17">
        <f t="shared" si="2"/>
        <v>15</v>
      </c>
      <c r="B29" s="228">
        <v>42914</v>
      </c>
      <c r="C29" s="221" t="s">
        <v>473</v>
      </c>
      <c r="D29" s="88" t="s">
        <v>643</v>
      </c>
      <c r="E29" s="100" t="s">
        <v>642</v>
      </c>
      <c r="F29" s="95" t="s">
        <v>435</v>
      </c>
      <c r="G29" s="114">
        <v>42</v>
      </c>
      <c r="H29" s="96" t="s">
        <v>382</v>
      </c>
      <c r="I29" s="97" t="s">
        <v>531</v>
      </c>
      <c r="J29" s="98" t="s">
        <v>379</v>
      </c>
      <c r="K29" s="101" t="s">
        <v>644</v>
      </c>
      <c r="L29" s="124" t="s">
        <v>473</v>
      </c>
      <c r="M29" s="333">
        <v>42914</v>
      </c>
      <c r="N29" s="341">
        <v>44022</v>
      </c>
      <c r="O29" s="190"/>
      <c r="P29" s="191"/>
      <c r="Q29" s="190"/>
      <c r="R29" s="191"/>
      <c r="S29" s="294" t="s">
        <v>472</v>
      </c>
      <c r="T29" s="300" t="s">
        <v>645</v>
      </c>
      <c r="U29" s="306" t="s">
        <v>459</v>
      </c>
      <c r="V29" s="308" t="s">
        <v>646</v>
      </c>
      <c r="W29" s="248"/>
      <c r="X29" s="342"/>
      <c r="Y29" s="336"/>
      <c r="Z29" s="123"/>
      <c r="AA29" s="33"/>
      <c r="AB29" s="123"/>
      <c r="AC29" s="33"/>
      <c r="AD29" s="123"/>
      <c r="AE29" s="33"/>
      <c r="AF29" s="123"/>
      <c r="AG29" s="243"/>
      <c r="AH29" s="33"/>
      <c r="AI29" s="245"/>
      <c r="AJ29" s="125"/>
      <c r="AK29" s="91"/>
      <c r="AL29" s="126"/>
      <c r="AM29" s="91"/>
      <c r="AN29" s="91"/>
      <c r="AO29" s="197">
        <f t="shared" si="3"/>
        <v>0</v>
      </c>
      <c r="AP29" s="126"/>
      <c r="AQ29" s="217"/>
      <c r="AR29" s="200"/>
      <c r="AS29" s="263"/>
      <c r="AT29" s="94"/>
      <c r="AU29" s="84"/>
      <c r="AV29" s="80"/>
      <c r="AW29" s="81"/>
      <c r="AX29" s="77"/>
      <c r="AY29" s="107"/>
      <c r="AZ29" s="220">
        <f t="shared" si="0"/>
        <v>0</v>
      </c>
      <c r="BA29" s="220">
        <f t="shared" si="1"/>
        <v>-42914</v>
      </c>
    </row>
    <row r="30" spans="1:53" ht="50.1" customHeight="1" x14ac:dyDescent="0.25">
      <c r="A30" s="17">
        <f t="shared" si="2"/>
        <v>16</v>
      </c>
      <c r="B30" s="229">
        <v>42978</v>
      </c>
      <c r="C30" s="222" t="s">
        <v>473</v>
      </c>
      <c r="D30" s="112" t="s">
        <v>648</v>
      </c>
      <c r="E30" s="128" t="s">
        <v>647</v>
      </c>
      <c r="F30" s="183" t="s">
        <v>435</v>
      </c>
      <c r="G30" s="130">
        <v>68</v>
      </c>
      <c r="H30" s="131" t="s">
        <v>383</v>
      </c>
      <c r="I30" s="132" t="s">
        <v>531</v>
      </c>
      <c r="J30" s="189" t="s">
        <v>379</v>
      </c>
      <c r="K30" s="133" t="s">
        <v>595</v>
      </c>
      <c r="L30" s="134" t="s">
        <v>473</v>
      </c>
      <c r="M30" s="334">
        <v>43033</v>
      </c>
      <c r="N30" s="343">
        <v>44033</v>
      </c>
      <c r="O30" s="192"/>
      <c r="P30" s="191"/>
      <c r="Q30" s="192"/>
      <c r="R30" s="191"/>
      <c r="S30" s="295"/>
      <c r="T30" s="301"/>
      <c r="U30" s="306"/>
      <c r="V30" s="308"/>
      <c r="W30" s="249"/>
      <c r="X30" s="344"/>
      <c r="Y30" s="337"/>
      <c r="Z30" s="33"/>
      <c r="AA30" s="83"/>
      <c r="AB30" s="33"/>
      <c r="AC30" s="83"/>
      <c r="AD30" s="33"/>
      <c r="AE30" s="83"/>
      <c r="AF30" s="33"/>
      <c r="AG30" s="244"/>
      <c r="AH30" s="83"/>
      <c r="AI30" s="246"/>
      <c r="AJ30" s="195"/>
      <c r="AK30" s="92"/>
      <c r="AL30" s="91"/>
      <c r="AM30" s="92"/>
      <c r="AN30" s="351"/>
      <c r="AO30" s="197">
        <f t="shared" si="3"/>
        <v>0</v>
      </c>
      <c r="AP30" s="91"/>
      <c r="AQ30" s="217"/>
      <c r="AR30" s="196"/>
      <c r="AS30" s="265"/>
      <c r="AT30" s="94"/>
      <c r="AU30" s="84"/>
      <c r="AV30" s="136"/>
      <c r="AW30" s="81"/>
      <c r="AX30" s="137"/>
      <c r="AY30" s="138"/>
      <c r="AZ30" s="220">
        <f t="shared" si="0"/>
        <v>55</v>
      </c>
      <c r="BA30" s="220">
        <f t="shared" si="1"/>
        <v>-43033</v>
      </c>
    </row>
    <row r="31" spans="1:53" ht="50.1" customHeight="1" x14ac:dyDescent="0.25">
      <c r="A31" s="17">
        <f t="shared" si="2"/>
        <v>17</v>
      </c>
      <c r="B31" s="228">
        <v>42426</v>
      </c>
      <c r="C31" s="221" t="s">
        <v>473</v>
      </c>
      <c r="D31" s="88" t="s">
        <v>649</v>
      </c>
      <c r="E31" s="100" t="s">
        <v>650</v>
      </c>
      <c r="F31" s="95" t="s">
        <v>410</v>
      </c>
      <c r="G31" s="114">
        <v>73</v>
      </c>
      <c r="H31" s="96" t="s">
        <v>382</v>
      </c>
      <c r="I31" s="97" t="s">
        <v>531</v>
      </c>
      <c r="J31" s="98" t="s">
        <v>379</v>
      </c>
      <c r="K31" s="101" t="s">
        <v>651</v>
      </c>
      <c r="L31" s="124" t="s">
        <v>473</v>
      </c>
      <c r="M31" s="333">
        <v>42426</v>
      </c>
      <c r="N31" s="341"/>
      <c r="O31" s="190"/>
      <c r="P31" s="191"/>
      <c r="Q31" s="190"/>
      <c r="R31" s="191"/>
      <c r="S31" s="294"/>
      <c r="T31" s="300"/>
      <c r="U31" s="306"/>
      <c r="V31" s="308"/>
      <c r="W31" s="248"/>
      <c r="X31" s="342"/>
      <c r="Y31" s="336"/>
      <c r="Z31" s="123"/>
      <c r="AA31" s="33"/>
      <c r="AB31" s="123"/>
      <c r="AC31" s="33"/>
      <c r="AD31" s="123"/>
      <c r="AE31" s="33"/>
      <c r="AF31" s="123"/>
      <c r="AG31" s="243"/>
      <c r="AH31" s="33"/>
      <c r="AI31" s="245"/>
      <c r="AJ31" s="125"/>
      <c r="AK31" s="91"/>
      <c r="AL31" s="126"/>
      <c r="AM31" s="91"/>
      <c r="AN31" s="91"/>
      <c r="AO31" s="197">
        <f t="shared" si="3"/>
        <v>0</v>
      </c>
      <c r="AP31" s="126"/>
      <c r="AQ31" s="217"/>
      <c r="AR31" s="201"/>
      <c r="AS31" s="266"/>
      <c r="AT31" s="94"/>
      <c r="AU31" s="84"/>
      <c r="AV31" s="80"/>
      <c r="AW31" s="81"/>
      <c r="AX31" s="77"/>
      <c r="AY31" s="107"/>
      <c r="AZ31" s="220">
        <f t="shared" si="0"/>
        <v>0</v>
      </c>
      <c r="BA31" s="220">
        <f t="shared" si="1"/>
        <v>-42426</v>
      </c>
    </row>
    <row r="32" spans="1:53" ht="50.1" customHeight="1" x14ac:dyDescent="0.25">
      <c r="A32" s="17">
        <f t="shared" si="2"/>
        <v>18</v>
      </c>
      <c r="B32" s="229">
        <v>42572</v>
      </c>
      <c r="C32" s="222" t="s">
        <v>473</v>
      </c>
      <c r="D32" s="112" t="s">
        <v>652</v>
      </c>
      <c r="E32" s="128" t="s">
        <v>653</v>
      </c>
      <c r="F32" s="183" t="s">
        <v>435</v>
      </c>
      <c r="G32" s="130">
        <v>37</v>
      </c>
      <c r="H32" s="131" t="s">
        <v>383</v>
      </c>
      <c r="I32" s="132" t="s">
        <v>531</v>
      </c>
      <c r="J32" s="189" t="s">
        <v>379</v>
      </c>
      <c r="K32" s="133" t="s">
        <v>654</v>
      </c>
      <c r="L32" s="134" t="s">
        <v>473</v>
      </c>
      <c r="M32" s="334">
        <v>42573</v>
      </c>
      <c r="N32" s="343"/>
      <c r="O32" s="192"/>
      <c r="P32" s="191"/>
      <c r="Q32" s="192"/>
      <c r="R32" s="191"/>
      <c r="S32" s="295"/>
      <c r="T32" s="301"/>
      <c r="U32" s="306"/>
      <c r="V32" s="308"/>
      <c r="W32" s="249"/>
      <c r="X32" s="344"/>
      <c r="Y32" s="337"/>
      <c r="Z32" s="33"/>
      <c r="AA32" s="83"/>
      <c r="AB32" s="33"/>
      <c r="AC32" s="83"/>
      <c r="AD32" s="33"/>
      <c r="AE32" s="83"/>
      <c r="AF32" s="33"/>
      <c r="AG32" s="244"/>
      <c r="AH32" s="83"/>
      <c r="AI32" s="246"/>
      <c r="AJ32" s="102"/>
      <c r="AK32" s="92"/>
      <c r="AL32" s="91"/>
      <c r="AM32" s="92"/>
      <c r="AN32" s="351"/>
      <c r="AO32" s="197">
        <f t="shared" si="3"/>
        <v>0</v>
      </c>
      <c r="AP32" s="91"/>
      <c r="AQ32" s="217"/>
      <c r="AR32" s="196"/>
      <c r="AS32" s="265"/>
      <c r="AT32" s="94"/>
      <c r="AU32" s="84"/>
      <c r="AV32" s="136"/>
      <c r="AW32" s="81"/>
      <c r="AX32" s="137"/>
      <c r="AY32" s="138"/>
      <c r="AZ32" s="220">
        <f t="shared" si="0"/>
        <v>1</v>
      </c>
      <c r="BA32" s="220">
        <f t="shared" si="1"/>
        <v>-42573</v>
      </c>
    </row>
    <row r="33" spans="1:53" ht="50.1" customHeight="1" x14ac:dyDescent="0.25">
      <c r="A33" s="17">
        <f t="shared" si="2"/>
        <v>19</v>
      </c>
      <c r="B33" s="228">
        <v>43636</v>
      </c>
      <c r="C33" s="221" t="s">
        <v>473</v>
      </c>
      <c r="D33" s="88" t="s">
        <v>655</v>
      </c>
      <c r="E33" s="100" t="s">
        <v>656</v>
      </c>
      <c r="F33" s="95" t="s">
        <v>435</v>
      </c>
      <c r="G33" s="114">
        <v>52</v>
      </c>
      <c r="H33" s="96" t="s">
        <v>382</v>
      </c>
      <c r="I33" s="97" t="s">
        <v>531</v>
      </c>
      <c r="J33" s="98" t="s">
        <v>379</v>
      </c>
      <c r="K33" s="101" t="s">
        <v>657</v>
      </c>
      <c r="L33" s="124" t="s">
        <v>473</v>
      </c>
      <c r="M33" s="333">
        <v>43648</v>
      </c>
      <c r="N33" s="341">
        <v>44035</v>
      </c>
      <c r="O33" s="190"/>
      <c r="P33" s="191"/>
      <c r="Q33" s="190"/>
      <c r="R33" s="191"/>
      <c r="S33" s="294" t="s">
        <v>472</v>
      </c>
      <c r="T33" s="300" t="s">
        <v>658</v>
      </c>
      <c r="U33" s="306"/>
      <c r="V33" s="308"/>
      <c r="W33" s="248"/>
      <c r="X33" s="342"/>
      <c r="Y33" s="336"/>
      <c r="Z33" s="123"/>
      <c r="AA33" s="33"/>
      <c r="AB33" s="123"/>
      <c r="AC33" s="33"/>
      <c r="AD33" s="123"/>
      <c r="AE33" s="33"/>
      <c r="AF33" s="123"/>
      <c r="AG33" s="243"/>
      <c r="AH33" s="33"/>
      <c r="AI33" s="245"/>
      <c r="AJ33" s="125"/>
      <c r="AK33" s="91"/>
      <c r="AL33" s="126"/>
      <c r="AM33" s="91"/>
      <c r="AN33" s="91"/>
      <c r="AO33" s="197">
        <f t="shared" si="3"/>
        <v>0</v>
      </c>
      <c r="AP33" s="126"/>
      <c r="AQ33" s="217"/>
      <c r="AR33" s="201"/>
      <c r="AS33" s="266"/>
      <c r="AT33" s="94"/>
      <c r="AU33" s="84"/>
      <c r="AV33" s="80"/>
      <c r="AW33" s="81"/>
      <c r="AX33" s="77"/>
      <c r="AY33" s="107"/>
      <c r="AZ33" s="220">
        <f t="shared" si="0"/>
        <v>12</v>
      </c>
      <c r="BA33" s="220">
        <f t="shared" si="1"/>
        <v>-43648</v>
      </c>
    </row>
    <row r="34" spans="1:53" ht="50.1" customHeight="1" x14ac:dyDescent="0.25">
      <c r="A34" s="17">
        <f t="shared" si="2"/>
        <v>20</v>
      </c>
      <c r="B34" s="229">
        <v>40161</v>
      </c>
      <c r="C34" s="222" t="s">
        <v>473</v>
      </c>
      <c r="D34" s="112" t="s">
        <v>660</v>
      </c>
      <c r="E34" s="128" t="s">
        <v>659</v>
      </c>
      <c r="F34" s="183" t="s">
        <v>435</v>
      </c>
      <c r="G34" s="130">
        <v>44</v>
      </c>
      <c r="H34" s="131" t="s">
        <v>382</v>
      </c>
      <c r="I34" s="132" t="s">
        <v>531</v>
      </c>
      <c r="J34" s="189" t="s">
        <v>379</v>
      </c>
      <c r="K34" s="133" t="s">
        <v>661</v>
      </c>
      <c r="L34" s="134" t="s">
        <v>473</v>
      </c>
      <c r="M34" s="334">
        <v>43813</v>
      </c>
      <c r="N34" s="343"/>
      <c r="O34" s="192"/>
      <c r="P34" s="191"/>
      <c r="Q34" s="192"/>
      <c r="R34" s="191"/>
      <c r="S34" s="295"/>
      <c r="T34" s="301"/>
      <c r="U34" s="306"/>
      <c r="V34" s="308"/>
      <c r="W34" s="249"/>
      <c r="X34" s="344"/>
      <c r="Y34" s="337"/>
      <c r="Z34" s="33"/>
      <c r="AA34" s="83"/>
      <c r="AB34" s="33"/>
      <c r="AC34" s="83"/>
      <c r="AD34" s="33"/>
      <c r="AE34" s="83"/>
      <c r="AF34" s="33"/>
      <c r="AG34" s="244"/>
      <c r="AH34" s="83"/>
      <c r="AI34" s="246"/>
      <c r="AJ34" s="102"/>
      <c r="AK34" s="92"/>
      <c r="AL34" s="91"/>
      <c r="AM34" s="92"/>
      <c r="AN34" s="351"/>
      <c r="AO34" s="197">
        <f t="shared" si="3"/>
        <v>0</v>
      </c>
      <c r="AP34" s="91"/>
      <c r="AQ34" s="217"/>
      <c r="AR34" s="196"/>
      <c r="AS34" s="265"/>
      <c r="AT34" s="94"/>
      <c r="AU34" s="84"/>
      <c r="AV34" s="136"/>
      <c r="AW34" s="81"/>
      <c r="AX34" s="137"/>
      <c r="AY34" s="138"/>
      <c r="AZ34" s="220">
        <f t="shared" si="0"/>
        <v>3652</v>
      </c>
      <c r="BA34" s="220">
        <f t="shared" si="1"/>
        <v>-43813</v>
      </c>
    </row>
    <row r="35" spans="1:53" ht="50.1" customHeight="1" x14ac:dyDescent="0.25">
      <c r="A35" s="17">
        <f t="shared" si="2"/>
        <v>21</v>
      </c>
      <c r="B35" s="228">
        <v>40738</v>
      </c>
      <c r="C35" s="221" t="s">
        <v>473</v>
      </c>
      <c r="D35" s="88" t="s">
        <v>663</v>
      </c>
      <c r="E35" s="100" t="s">
        <v>662</v>
      </c>
      <c r="F35" s="95" t="s">
        <v>429</v>
      </c>
      <c r="G35" s="114">
        <v>20</v>
      </c>
      <c r="H35" s="96" t="s">
        <v>382</v>
      </c>
      <c r="I35" s="97" t="s">
        <v>531</v>
      </c>
      <c r="J35" s="98" t="s">
        <v>379</v>
      </c>
      <c r="K35" s="101" t="s">
        <v>604</v>
      </c>
      <c r="L35" s="124" t="s">
        <v>473</v>
      </c>
      <c r="M35" s="333">
        <v>40738</v>
      </c>
      <c r="N35" s="341"/>
      <c r="O35" s="190"/>
      <c r="P35" s="191"/>
      <c r="Q35" s="190"/>
      <c r="R35" s="191"/>
      <c r="S35" s="294"/>
      <c r="T35" s="300"/>
      <c r="U35" s="306"/>
      <c r="V35" s="308"/>
      <c r="W35" s="248"/>
      <c r="X35" s="342"/>
      <c r="Y35" s="337"/>
      <c r="Z35" s="123"/>
      <c r="AA35" s="83"/>
      <c r="AB35" s="123"/>
      <c r="AC35" s="83"/>
      <c r="AD35" s="123"/>
      <c r="AE35" s="83"/>
      <c r="AF35" s="123"/>
      <c r="AG35" s="243"/>
      <c r="AH35" s="33"/>
      <c r="AI35" s="245"/>
      <c r="AJ35" s="125"/>
      <c r="AK35" s="92"/>
      <c r="AL35" s="126"/>
      <c r="AM35" s="91"/>
      <c r="AN35" s="91"/>
      <c r="AO35" s="197">
        <f t="shared" si="3"/>
        <v>0</v>
      </c>
      <c r="AP35" s="126"/>
      <c r="AQ35" s="217"/>
      <c r="AR35" s="201"/>
      <c r="AS35" s="266"/>
      <c r="AT35" s="94"/>
      <c r="AU35" s="84"/>
      <c r="AV35" s="80"/>
      <c r="AW35" s="81"/>
      <c r="AX35" s="77"/>
      <c r="AY35" s="107" t="s">
        <v>664</v>
      </c>
      <c r="AZ35" s="220">
        <f t="shared" si="0"/>
        <v>0</v>
      </c>
      <c r="BA35" s="220">
        <f t="shared" si="1"/>
        <v>-40738</v>
      </c>
    </row>
    <row r="36" spans="1:53" ht="50.1" customHeight="1" x14ac:dyDescent="0.25">
      <c r="A36" s="17">
        <f t="shared" si="2"/>
        <v>22</v>
      </c>
      <c r="B36" s="229">
        <v>42858</v>
      </c>
      <c r="C36" s="222" t="s">
        <v>462</v>
      </c>
      <c r="D36" s="112" t="s">
        <v>665</v>
      </c>
      <c r="E36" s="128" t="s">
        <v>666</v>
      </c>
      <c r="F36" s="183" t="s">
        <v>416</v>
      </c>
      <c r="G36" s="130">
        <v>46</v>
      </c>
      <c r="H36" s="131" t="s">
        <v>383</v>
      </c>
      <c r="I36" s="132" t="s">
        <v>531</v>
      </c>
      <c r="J36" s="189" t="s">
        <v>379</v>
      </c>
      <c r="K36" s="133" t="s">
        <v>667</v>
      </c>
      <c r="L36" s="134" t="s">
        <v>473</v>
      </c>
      <c r="M36" s="334">
        <v>42858</v>
      </c>
      <c r="N36" s="343"/>
      <c r="O36" s="192"/>
      <c r="P36" s="191"/>
      <c r="Q36" s="192"/>
      <c r="R36" s="191"/>
      <c r="S36" s="295"/>
      <c r="T36" s="301"/>
      <c r="U36" s="306"/>
      <c r="V36" s="308"/>
      <c r="W36" s="249"/>
      <c r="X36" s="344"/>
      <c r="Y36" s="337"/>
      <c r="Z36" s="33"/>
      <c r="AA36" s="83"/>
      <c r="AB36" s="33"/>
      <c r="AC36" s="83"/>
      <c r="AD36" s="33"/>
      <c r="AE36" s="83"/>
      <c r="AF36" s="33"/>
      <c r="AG36" s="244"/>
      <c r="AH36" s="83"/>
      <c r="AI36" s="246"/>
      <c r="AJ36" s="102"/>
      <c r="AK36" s="92"/>
      <c r="AL36" s="91"/>
      <c r="AM36" s="92"/>
      <c r="AN36" s="351"/>
      <c r="AO36" s="197">
        <f t="shared" si="3"/>
        <v>0</v>
      </c>
      <c r="AP36" s="91"/>
      <c r="AQ36" s="217"/>
      <c r="AR36" s="196"/>
      <c r="AS36" s="265"/>
      <c r="AT36" s="94"/>
      <c r="AU36" s="84"/>
      <c r="AV36" s="136"/>
      <c r="AW36" s="81"/>
      <c r="AX36" s="137"/>
      <c r="AY36" s="138"/>
      <c r="AZ36" s="220">
        <f t="shared" si="0"/>
        <v>0</v>
      </c>
      <c r="BA36" s="220">
        <f t="shared" si="1"/>
        <v>-42858</v>
      </c>
    </row>
    <row r="37" spans="1:53" ht="50.1" customHeight="1" x14ac:dyDescent="0.25">
      <c r="A37" s="17">
        <f t="shared" si="2"/>
        <v>23</v>
      </c>
      <c r="B37" s="228">
        <v>42726</v>
      </c>
      <c r="C37" s="221" t="s">
        <v>473</v>
      </c>
      <c r="D37" s="88" t="s">
        <v>669</v>
      </c>
      <c r="E37" s="100" t="s">
        <v>668</v>
      </c>
      <c r="F37" s="95" t="s">
        <v>435</v>
      </c>
      <c r="G37" s="114">
        <v>42</v>
      </c>
      <c r="H37" s="96" t="s">
        <v>382</v>
      </c>
      <c r="I37" s="97" t="s">
        <v>531</v>
      </c>
      <c r="J37" s="98" t="s">
        <v>379</v>
      </c>
      <c r="K37" s="101" t="s">
        <v>604</v>
      </c>
      <c r="L37" s="124" t="s">
        <v>473</v>
      </c>
      <c r="M37" s="333">
        <v>42794</v>
      </c>
      <c r="N37" s="341"/>
      <c r="O37" s="190"/>
      <c r="P37" s="191"/>
      <c r="Q37" s="190"/>
      <c r="R37" s="191"/>
      <c r="S37" s="294"/>
      <c r="T37" s="300"/>
      <c r="U37" s="306"/>
      <c r="V37" s="308"/>
      <c r="W37" s="248"/>
      <c r="X37" s="342"/>
      <c r="Y37" s="336"/>
      <c r="Z37" s="123"/>
      <c r="AA37" s="33"/>
      <c r="AB37" s="123"/>
      <c r="AC37" s="33"/>
      <c r="AD37" s="123"/>
      <c r="AE37" s="33"/>
      <c r="AF37" s="123"/>
      <c r="AG37" s="243"/>
      <c r="AH37" s="33"/>
      <c r="AI37" s="245"/>
      <c r="AJ37" s="125"/>
      <c r="AK37" s="91"/>
      <c r="AL37" s="126"/>
      <c r="AM37" s="91"/>
      <c r="AN37" s="91"/>
      <c r="AO37" s="197">
        <f t="shared" si="3"/>
        <v>0</v>
      </c>
      <c r="AP37" s="126"/>
      <c r="AQ37" s="217"/>
      <c r="AR37" s="201"/>
      <c r="AS37" s="266"/>
      <c r="AT37" s="94"/>
      <c r="AU37" s="84"/>
      <c r="AV37" s="80"/>
      <c r="AW37" s="81"/>
      <c r="AX37" s="77"/>
      <c r="AY37" s="107"/>
      <c r="AZ37" s="220">
        <f t="shared" si="0"/>
        <v>68</v>
      </c>
      <c r="BA37" s="220">
        <f t="shared" si="1"/>
        <v>-42794</v>
      </c>
    </row>
    <row r="38" spans="1:53" ht="50.1" customHeight="1" x14ac:dyDescent="0.25">
      <c r="A38" s="17">
        <f t="shared" si="2"/>
        <v>24</v>
      </c>
      <c r="B38" s="229">
        <v>42982</v>
      </c>
      <c r="C38" s="222" t="s">
        <v>473</v>
      </c>
      <c r="D38" s="112" t="s">
        <v>670</v>
      </c>
      <c r="E38" s="128" t="s">
        <v>671</v>
      </c>
      <c r="F38" s="183" t="s">
        <v>399</v>
      </c>
      <c r="G38" s="130">
        <v>55</v>
      </c>
      <c r="H38" s="131" t="s">
        <v>383</v>
      </c>
      <c r="I38" s="132" t="s">
        <v>531</v>
      </c>
      <c r="J38" s="189" t="s">
        <v>379</v>
      </c>
      <c r="K38" s="133" t="s">
        <v>672</v>
      </c>
      <c r="L38" s="134" t="s">
        <v>473</v>
      </c>
      <c r="M38" s="334">
        <v>42991</v>
      </c>
      <c r="N38" s="343"/>
      <c r="O38" s="192"/>
      <c r="P38" s="191"/>
      <c r="Q38" s="192"/>
      <c r="R38" s="191" t="s">
        <v>472</v>
      </c>
      <c r="S38" s="295" t="s">
        <v>472</v>
      </c>
      <c r="T38" s="301" t="s">
        <v>646</v>
      </c>
      <c r="U38" s="306"/>
      <c r="V38" s="308"/>
      <c r="W38" s="249"/>
      <c r="X38" s="344"/>
      <c r="Y38" s="337"/>
      <c r="Z38" s="33"/>
      <c r="AA38" s="83"/>
      <c r="AB38" s="33"/>
      <c r="AC38" s="83"/>
      <c r="AD38" s="33"/>
      <c r="AE38" s="83"/>
      <c r="AF38" s="33"/>
      <c r="AG38" s="244"/>
      <c r="AH38" s="83"/>
      <c r="AI38" s="246"/>
      <c r="AJ38" s="102"/>
      <c r="AK38" s="92"/>
      <c r="AL38" s="91"/>
      <c r="AM38" s="92"/>
      <c r="AN38" s="351"/>
      <c r="AO38" s="197">
        <f t="shared" si="3"/>
        <v>0</v>
      </c>
      <c r="AP38" s="91"/>
      <c r="AQ38" s="217"/>
      <c r="AR38" s="196"/>
      <c r="AS38" s="265"/>
      <c r="AT38" s="94"/>
      <c r="AU38" s="84"/>
      <c r="AV38" s="136"/>
      <c r="AW38" s="81"/>
      <c r="AX38" s="137"/>
      <c r="AY38" s="138"/>
      <c r="AZ38" s="220">
        <f t="shared" si="0"/>
        <v>9</v>
      </c>
      <c r="BA38" s="220">
        <f t="shared" si="1"/>
        <v>-42991</v>
      </c>
    </row>
    <row r="39" spans="1:53" ht="50.1" customHeight="1" x14ac:dyDescent="0.25">
      <c r="A39" s="17">
        <f t="shared" si="2"/>
        <v>25</v>
      </c>
      <c r="B39" s="228">
        <v>42948</v>
      </c>
      <c r="C39" s="221" t="s">
        <v>473</v>
      </c>
      <c r="D39" s="88" t="s">
        <v>674</v>
      </c>
      <c r="E39" s="100" t="s">
        <v>673</v>
      </c>
      <c r="F39" s="95" t="s">
        <v>460</v>
      </c>
      <c r="G39" s="114">
        <v>51</v>
      </c>
      <c r="H39" s="96" t="s">
        <v>382</v>
      </c>
      <c r="I39" s="97" t="s">
        <v>531</v>
      </c>
      <c r="J39" s="98" t="s">
        <v>379</v>
      </c>
      <c r="K39" s="101" t="s">
        <v>675</v>
      </c>
      <c r="L39" s="124" t="s">
        <v>473</v>
      </c>
      <c r="M39" s="333">
        <v>42948</v>
      </c>
      <c r="N39" s="341"/>
      <c r="O39" s="190"/>
      <c r="P39" s="191"/>
      <c r="Q39" s="190"/>
      <c r="R39" s="191"/>
      <c r="S39" s="294"/>
      <c r="T39" s="300"/>
      <c r="U39" s="306"/>
      <c r="V39" s="308"/>
      <c r="W39" s="248"/>
      <c r="X39" s="342"/>
      <c r="Y39" s="337"/>
      <c r="Z39" s="123"/>
      <c r="AA39" s="83"/>
      <c r="AB39" s="123"/>
      <c r="AC39" s="83"/>
      <c r="AD39" s="123"/>
      <c r="AE39" s="83"/>
      <c r="AF39" s="123"/>
      <c r="AG39" s="243"/>
      <c r="AH39" s="33"/>
      <c r="AI39" s="245"/>
      <c r="AJ39" s="125"/>
      <c r="AK39" s="92"/>
      <c r="AL39" s="126"/>
      <c r="AM39" s="91"/>
      <c r="AN39" s="91"/>
      <c r="AO39" s="197">
        <f t="shared" si="3"/>
        <v>0</v>
      </c>
      <c r="AP39" s="126"/>
      <c r="AQ39" s="217"/>
      <c r="AR39" s="201"/>
      <c r="AS39" s="266"/>
      <c r="AT39" s="94"/>
      <c r="AU39" s="84"/>
      <c r="AV39" s="80"/>
      <c r="AW39" s="81"/>
      <c r="AX39" s="77"/>
      <c r="AY39" s="107"/>
      <c r="AZ39" s="220">
        <f t="shared" si="0"/>
        <v>0</v>
      </c>
      <c r="BA39" s="220">
        <f t="shared" si="1"/>
        <v>-42948</v>
      </c>
    </row>
    <row r="40" spans="1:53" ht="50.1" customHeight="1" x14ac:dyDescent="0.25">
      <c r="A40" s="17">
        <f t="shared" si="2"/>
        <v>26</v>
      </c>
      <c r="B40" s="229">
        <v>41096</v>
      </c>
      <c r="C40" s="222" t="s">
        <v>462</v>
      </c>
      <c r="D40" s="112" t="s">
        <v>677</v>
      </c>
      <c r="E40" s="128" t="s">
        <v>676</v>
      </c>
      <c r="F40" s="183" t="s">
        <v>458</v>
      </c>
      <c r="G40" s="130">
        <v>45</v>
      </c>
      <c r="H40" s="131" t="s">
        <v>383</v>
      </c>
      <c r="I40" s="132" t="s">
        <v>531</v>
      </c>
      <c r="J40" s="189" t="s">
        <v>379</v>
      </c>
      <c r="K40" s="133" t="s">
        <v>604</v>
      </c>
      <c r="L40" s="134" t="s">
        <v>473</v>
      </c>
      <c r="M40" s="334">
        <v>41247</v>
      </c>
      <c r="N40" s="343"/>
      <c r="O40" s="192"/>
      <c r="P40" s="191"/>
      <c r="Q40" s="192"/>
      <c r="R40" s="191"/>
      <c r="S40" s="295"/>
      <c r="T40" s="301"/>
      <c r="U40" s="306"/>
      <c r="V40" s="308"/>
      <c r="W40" s="249"/>
      <c r="X40" s="344"/>
      <c r="Y40" s="337"/>
      <c r="Z40" s="33"/>
      <c r="AA40" s="83"/>
      <c r="AB40" s="33"/>
      <c r="AC40" s="83"/>
      <c r="AD40" s="33"/>
      <c r="AE40" s="83"/>
      <c r="AF40" s="33"/>
      <c r="AG40" s="244"/>
      <c r="AH40" s="83"/>
      <c r="AI40" s="246"/>
      <c r="AJ40" s="102"/>
      <c r="AK40" s="92"/>
      <c r="AL40" s="91"/>
      <c r="AM40" s="92"/>
      <c r="AN40" s="351"/>
      <c r="AO40" s="197">
        <f t="shared" si="3"/>
        <v>0</v>
      </c>
      <c r="AP40" s="91"/>
      <c r="AQ40" s="217"/>
      <c r="AR40" s="196"/>
      <c r="AS40" s="265"/>
      <c r="AT40" s="94"/>
      <c r="AU40" s="84"/>
      <c r="AV40" s="136"/>
      <c r="AW40" s="81"/>
      <c r="AX40" s="137"/>
      <c r="AY40" s="138"/>
      <c r="AZ40" s="220">
        <f t="shared" si="0"/>
        <v>151</v>
      </c>
      <c r="BA40" s="220">
        <f t="shared" si="1"/>
        <v>-41247</v>
      </c>
    </row>
    <row r="41" spans="1:53" ht="50.1" customHeight="1" x14ac:dyDescent="0.25">
      <c r="A41" s="17">
        <f t="shared" si="2"/>
        <v>27</v>
      </c>
      <c r="B41" s="228">
        <v>39488</v>
      </c>
      <c r="C41" s="221" t="s">
        <v>473</v>
      </c>
      <c r="D41" s="88" t="s">
        <v>678</v>
      </c>
      <c r="E41" s="100" t="s">
        <v>679</v>
      </c>
      <c r="F41" s="95" t="s">
        <v>388</v>
      </c>
      <c r="G41" s="114">
        <v>35</v>
      </c>
      <c r="H41" s="96" t="s">
        <v>382</v>
      </c>
      <c r="I41" s="97" t="s">
        <v>531</v>
      </c>
      <c r="J41" s="98" t="s">
        <v>379</v>
      </c>
      <c r="K41" s="101" t="s">
        <v>680</v>
      </c>
      <c r="L41" s="124" t="s">
        <v>473</v>
      </c>
      <c r="M41" s="333">
        <v>39503</v>
      </c>
      <c r="N41" s="341">
        <v>44021</v>
      </c>
      <c r="O41" s="190"/>
      <c r="P41" s="191"/>
      <c r="Q41" s="190"/>
      <c r="R41" s="191"/>
      <c r="S41" s="294" t="s">
        <v>459</v>
      </c>
      <c r="T41" s="300" t="s">
        <v>681</v>
      </c>
      <c r="U41" s="306" t="s">
        <v>472</v>
      </c>
      <c r="V41" s="308" t="s">
        <v>682</v>
      </c>
      <c r="W41" s="248"/>
      <c r="X41" s="342"/>
      <c r="Y41" s="337"/>
      <c r="Z41" s="123"/>
      <c r="AA41" s="83"/>
      <c r="AB41" s="123"/>
      <c r="AC41" s="83"/>
      <c r="AD41" s="123"/>
      <c r="AE41" s="83"/>
      <c r="AF41" s="123"/>
      <c r="AG41" s="243"/>
      <c r="AH41" s="33"/>
      <c r="AI41" s="245"/>
      <c r="AJ41" s="125"/>
      <c r="AK41" s="92"/>
      <c r="AL41" s="126"/>
      <c r="AM41" s="91"/>
      <c r="AN41" s="91"/>
      <c r="AO41" s="197">
        <f t="shared" si="3"/>
        <v>0</v>
      </c>
      <c r="AP41" s="126"/>
      <c r="AQ41" s="217"/>
      <c r="AR41" s="201"/>
      <c r="AS41" s="266"/>
      <c r="AT41" s="94"/>
      <c r="AU41" s="84"/>
      <c r="AV41" s="80"/>
      <c r="AW41" s="81"/>
      <c r="AX41" s="77"/>
      <c r="AY41" s="107"/>
      <c r="AZ41" s="220">
        <f t="shared" si="0"/>
        <v>15</v>
      </c>
      <c r="BA41" s="220">
        <f t="shared" si="1"/>
        <v>-39503</v>
      </c>
    </row>
    <row r="42" spans="1:53" ht="50.1" customHeight="1" x14ac:dyDescent="0.25">
      <c r="A42" s="17">
        <f t="shared" si="2"/>
        <v>28</v>
      </c>
      <c r="B42" s="229">
        <v>43700</v>
      </c>
      <c r="C42" s="222" t="s">
        <v>473</v>
      </c>
      <c r="D42" s="112" t="s">
        <v>683</v>
      </c>
      <c r="E42" s="128" t="s">
        <v>684</v>
      </c>
      <c r="F42" s="183" t="s">
        <v>435</v>
      </c>
      <c r="G42" s="130">
        <v>78</v>
      </c>
      <c r="H42" s="131" t="s">
        <v>383</v>
      </c>
      <c r="I42" s="132" t="s">
        <v>531</v>
      </c>
      <c r="J42" s="189" t="s">
        <v>379</v>
      </c>
      <c r="K42" s="133" t="s">
        <v>685</v>
      </c>
      <c r="L42" s="134" t="s">
        <v>473</v>
      </c>
      <c r="M42" s="334">
        <v>43700</v>
      </c>
      <c r="N42" s="343"/>
      <c r="O42" s="192"/>
      <c r="P42" s="191"/>
      <c r="Q42" s="192"/>
      <c r="R42" s="191"/>
      <c r="S42" s="295"/>
      <c r="T42" s="301"/>
      <c r="U42" s="306"/>
      <c r="V42" s="308"/>
      <c r="W42" s="249"/>
      <c r="X42" s="344"/>
      <c r="Y42" s="337"/>
      <c r="Z42" s="33"/>
      <c r="AA42" s="83"/>
      <c r="AB42" s="33"/>
      <c r="AC42" s="83"/>
      <c r="AD42" s="33"/>
      <c r="AE42" s="83"/>
      <c r="AF42" s="33"/>
      <c r="AG42" s="244"/>
      <c r="AH42" s="83"/>
      <c r="AI42" s="246"/>
      <c r="AJ42" s="102"/>
      <c r="AK42" s="92"/>
      <c r="AL42" s="91"/>
      <c r="AM42" s="92"/>
      <c r="AN42" s="351"/>
      <c r="AO42" s="197">
        <f t="shared" si="3"/>
        <v>0</v>
      </c>
      <c r="AP42" s="91"/>
      <c r="AQ42" s="217"/>
      <c r="AR42" s="196"/>
      <c r="AS42" s="265"/>
      <c r="AT42" s="94"/>
      <c r="AU42" s="84"/>
      <c r="AV42" s="136"/>
      <c r="AW42" s="81"/>
      <c r="AX42" s="137"/>
      <c r="AY42" s="138"/>
      <c r="AZ42" s="220">
        <f t="shared" si="0"/>
        <v>0</v>
      </c>
      <c r="BA42" s="220">
        <f t="shared" si="1"/>
        <v>-43700</v>
      </c>
    </row>
    <row r="43" spans="1:53" ht="50.1" customHeight="1" x14ac:dyDescent="0.25">
      <c r="A43" s="17">
        <f t="shared" si="2"/>
        <v>29</v>
      </c>
      <c r="B43" s="228">
        <v>41251</v>
      </c>
      <c r="C43" s="221" t="s">
        <v>473</v>
      </c>
      <c r="D43" s="88" t="s">
        <v>687</v>
      </c>
      <c r="E43" s="100" t="s">
        <v>686</v>
      </c>
      <c r="F43" s="95" t="s">
        <v>427</v>
      </c>
      <c r="G43" s="114">
        <v>54</v>
      </c>
      <c r="H43" s="96" t="s">
        <v>383</v>
      </c>
      <c r="I43" s="97" t="s">
        <v>531</v>
      </c>
      <c r="J43" s="98" t="s">
        <v>379</v>
      </c>
      <c r="K43" s="101" t="s">
        <v>654</v>
      </c>
      <c r="L43" s="124" t="s">
        <v>473</v>
      </c>
      <c r="M43" s="333">
        <v>41710</v>
      </c>
      <c r="N43" s="341"/>
      <c r="O43" s="190"/>
      <c r="P43" s="191"/>
      <c r="Q43" s="190"/>
      <c r="R43" s="191"/>
      <c r="S43" s="294"/>
      <c r="T43" s="300"/>
      <c r="U43" s="306"/>
      <c r="V43" s="308"/>
      <c r="W43" s="248"/>
      <c r="X43" s="342"/>
      <c r="Y43" s="336"/>
      <c r="Z43" s="123"/>
      <c r="AA43" s="33"/>
      <c r="AB43" s="123"/>
      <c r="AC43" s="33"/>
      <c r="AD43" s="123"/>
      <c r="AE43" s="33"/>
      <c r="AF43" s="123"/>
      <c r="AG43" s="243"/>
      <c r="AH43" s="33"/>
      <c r="AI43" s="245"/>
      <c r="AJ43" s="125"/>
      <c r="AK43" s="91"/>
      <c r="AL43" s="126"/>
      <c r="AM43" s="91"/>
      <c r="AN43" s="91"/>
      <c r="AO43" s="197">
        <f t="shared" si="3"/>
        <v>0</v>
      </c>
      <c r="AP43" s="126"/>
      <c r="AQ43" s="217"/>
      <c r="AR43" s="201"/>
      <c r="AS43" s="266"/>
      <c r="AT43" s="94"/>
      <c r="AU43" s="84"/>
      <c r="AV43" s="80"/>
      <c r="AW43" s="81"/>
      <c r="AX43" s="77"/>
      <c r="AY43" s="107"/>
      <c r="AZ43" s="220">
        <f t="shared" si="0"/>
        <v>459</v>
      </c>
      <c r="BA43" s="220">
        <f t="shared" si="1"/>
        <v>-41710</v>
      </c>
    </row>
    <row r="44" spans="1:53" ht="50.1" customHeight="1" x14ac:dyDescent="0.25">
      <c r="A44" s="17">
        <f t="shared" si="2"/>
        <v>30</v>
      </c>
      <c r="B44" s="229">
        <v>43530</v>
      </c>
      <c r="C44" s="222" t="s">
        <v>473</v>
      </c>
      <c r="D44" s="112" t="s">
        <v>689</v>
      </c>
      <c r="E44" s="128" t="s">
        <v>688</v>
      </c>
      <c r="F44" s="183" t="s">
        <v>391</v>
      </c>
      <c r="G44" s="130">
        <v>56</v>
      </c>
      <c r="H44" s="131" t="s">
        <v>383</v>
      </c>
      <c r="I44" s="132" t="s">
        <v>531</v>
      </c>
      <c r="J44" s="189" t="s">
        <v>379</v>
      </c>
      <c r="K44" s="133" t="s">
        <v>690</v>
      </c>
      <c r="L44" s="134" t="s">
        <v>462</v>
      </c>
      <c r="M44" s="334">
        <v>43634</v>
      </c>
      <c r="N44" s="343"/>
      <c r="O44" s="192"/>
      <c r="P44" s="191"/>
      <c r="Q44" s="192"/>
      <c r="R44" s="191"/>
      <c r="S44" s="295"/>
      <c r="T44" s="301"/>
      <c r="U44" s="306"/>
      <c r="V44" s="308"/>
      <c r="W44" s="249"/>
      <c r="X44" s="344"/>
      <c r="Y44" s="337"/>
      <c r="Z44" s="33"/>
      <c r="AA44" s="83"/>
      <c r="AB44" s="33"/>
      <c r="AC44" s="83"/>
      <c r="AD44" s="33"/>
      <c r="AE44" s="83"/>
      <c r="AF44" s="33"/>
      <c r="AG44" s="244"/>
      <c r="AH44" s="83"/>
      <c r="AI44" s="246"/>
      <c r="AJ44" s="102"/>
      <c r="AK44" s="92"/>
      <c r="AL44" s="91"/>
      <c r="AM44" s="92"/>
      <c r="AN44" s="351"/>
      <c r="AO44" s="197">
        <f t="shared" si="3"/>
        <v>0</v>
      </c>
      <c r="AP44" s="91"/>
      <c r="AQ44" s="217"/>
      <c r="AR44" s="196"/>
      <c r="AS44" s="265"/>
      <c r="AT44" s="94"/>
      <c r="AU44" s="84"/>
      <c r="AV44" s="136"/>
      <c r="AW44" s="81"/>
      <c r="AX44" s="137"/>
      <c r="AY44" s="138"/>
      <c r="AZ44" s="220">
        <f t="shared" si="0"/>
        <v>104</v>
      </c>
      <c r="BA44" s="220">
        <f t="shared" si="1"/>
        <v>-43634</v>
      </c>
    </row>
    <row r="45" spans="1:53" ht="50.1" customHeight="1" x14ac:dyDescent="0.25">
      <c r="A45" s="17">
        <f t="shared" si="2"/>
        <v>31</v>
      </c>
      <c r="B45" s="228">
        <v>43867</v>
      </c>
      <c r="C45" s="221" t="s">
        <v>473</v>
      </c>
      <c r="D45" s="88" t="s">
        <v>692</v>
      </c>
      <c r="E45" s="100" t="s">
        <v>691</v>
      </c>
      <c r="F45" s="95" t="s">
        <v>391</v>
      </c>
      <c r="G45" s="114">
        <v>39</v>
      </c>
      <c r="H45" s="96" t="s">
        <v>383</v>
      </c>
      <c r="I45" s="97" t="s">
        <v>531</v>
      </c>
      <c r="J45" s="98" t="s">
        <v>379</v>
      </c>
      <c r="K45" s="101" t="s">
        <v>693</v>
      </c>
      <c r="L45" s="124" t="s">
        <v>473</v>
      </c>
      <c r="M45" s="333">
        <v>43873</v>
      </c>
      <c r="N45" s="341"/>
      <c r="O45" s="190"/>
      <c r="P45" s="191"/>
      <c r="Q45" s="190"/>
      <c r="R45" s="191"/>
      <c r="S45" s="294"/>
      <c r="T45" s="300"/>
      <c r="U45" s="306"/>
      <c r="V45" s="308"/>
      <c r="W45" s="248"/>
      <c r="X45" s="342"/>
      <c r="Y45" s="337"/>
      <c r="Z45" s="123"/>
      <c r="AA45" s="83"/>
      <c r="AB45" s="123"/>
      <c r="AC45" s="83"/>
      <c r="AD45" s="123"/>
      <c r="AE45" s="83"/>
      <c r="AF45" s="123"/>
      <c r="AG45" s="243"/>
      <c r="AH45" s="33"/>
      <c r="AI45" s="245"/>
      <c r="AJ45" s="125"/>
      <c r="AK45" s="92"/>
      <c r="AL45" s="126"/>
      <c r="AM45" s="91"/>
      <c r="AN45" s="91"/>
      <c r="AO45" s="197">
        <f t="shared" si="3"/>
        <v>0</v>
      </c>
      <c r="AP45" s="126"/>
      <c r="AQ45" s="217"/>
      <c r="AR45" s="201"/>
      <c r="AS45" s="266"/>
      <c r="AT45" s="94"/>
      <c r="AU45" s="84"/>
      <c r="AV45" s="80"/>
      <c r="AW45" s="81"/>
      <c r="AX45" s="77"/>
      <c r="AY45" s="107"/>
      <c r="AZ45" s="220">
        <f t="shared" si="0"/>
        <v>6</v>
      </c>
      <c r="BA45" s="220">
        <f t="shared" si="1"/>
        <v>-43873</v>
      </c>
    </row>
    <row r="46" spans="1:53" ht="50.1" customHeight="1" x14ac:dyDescent="0.25">
      <c r="A46" s="17">
        <f t="shared" si="2"/>
        <v>32</v>
      </c>
      <c r="B46" s="229">
        <v>40345</v>
      </c>
      <c r="C46" s="222" t="s">
        <v>473</v>
      </c>
      <c r="D46" s="112" t="s">
        <v>694</v>
      </c>
      <c r="E46" s="128" t="s">
        <v>695</v>
      </c>
      <c r="F46" s="183" t="s">
        <v>387</v>
      </c>
      <c r="G46" s="130">
        <v>45</v>
      </c>
      <c r="H46" s="131" t="s">
        <v>383</v>
      </c>
      <c r="I46" s="132" t="s">
        <v>531</v>
      </c>
      <c r="J46" s="189" t="s">
        <v>379</v>
      </c>
      <c r="K46" s="133" t="s">
        <v>604</v>
      </c>
      <c r="L46" s="134" t="s">
        <v>473</v>
      </c>
      <c r="M46" s="334">
        <v>40345</v>
      </c>
      <c r="N46" s="343"/>
      <c r="O46" s="192"/>
      <c r="P46" s="191"/>
      <c r="Q46" s="192"/>
      <c r="R46" s="191"/>
      <c r="S46" s="295"/>
      <c r="T46" s="301"/>
      <c r="U46" s="306"/>
      <c r="V46" s="308"/>
      <c r="W46" s="249"/>
      <c r="X46" s="344"/>
      <c r="Y46" s="337"/>
      <c r="Z46" s="33"/>
      <c r="AA46" s="83"/>
      <c r="AB46" s="33"/>
      <c r="AC46" s="83"/>
      <c r="AD46" s="33"/>
      <c r="AE46" s="83"/>
      <c r="AF46" s="33"/>
      <c r="AG46" s="244"/>
      <c r="AH46" s="83"/>
      <c r="AI46" s="246"/>
      <c r="AJ46" s="195"/>
      <c r="AK46" s="92"/>
      <c r="AL46" s="91"/>
      <c r="AM46" s="92"/>
      <c r="AN46" s="351"/>
      <c r="AO46" s="197">
        <f t="shared" si="3"/>
        <v>0</v>
      </c>
      <c r="AP46" s="91"/>
      <c r="AQ46" s="217"/>
      <c r="AR46" s="196"/>
      <c r="AS46" s="265"/>
      <c r="AT46" s="94"/>
      <c r="AU46" s="84"/>
      <c r="AV46" s="136"/>
      <c r="AW46" s="81"/>
      <c r="AX46" s="137"/>
      <c r="AY46" s="138"/>
      <c r="AZ46" s="220">
        <f t="shared" si="0"/>
        <v>0</v>
      </c>
      <c r="BA46" s="220">
        <f t="shared" si="1"/>
        <v>-40345</v>
      </c>
    </row>
    <row r="47" spans="1:53" ht="50.1" customHeight="1" x14ac:dyDescent="0.25">
      <c r="A47" s="17">
        <f t="shared" si="2"/>
        <v>33</v>
      </c>
      <c r="B47" s="228">
        <v>42026</v>
      </c>
      <c r="C47" s="221" t="s">
        <v>473</v>
      </c>
      <c r="D47" s="88" t="s">
        <v>696</v>
      </c>
      <c r="E47" s="100" t="s">
        <v>697</v>
      </c>
      <c r="F47" s="95" t="s">
        <v>432</v>
      </c>
      <c r="G47" s="114">
        <v>52</v>
      </c>
      <c r="H47" s="96" t="s">
        <v>383</v>
      </c>
      <c r="I47" s="97" t="s">
        <v>525</v>
      </c>
      <c r="J47" s="98" t="s">
        <v>503</v>
      </c>
      <c r="K47" s="101" t="s">
        <v>654</v>
      </c>
      <c r="L47" s="124" t="s">
        <v>473</v>
      </c>
      <c r="M47" s="333">
        <v>42072</v>
      </c>
      <c r="N47" s="341"/>
      <c r="O47" s="190"/>
      <c r="P47" s="191"/>
      <c r="Q47" s="190"/>
      <c r="R47" s="191"/>
      <c r="S47" s="294"/>
      <c r="T47" s="300"/>
      <c r="U47" s="306"/>
      <c r="V47" s="308"/>
      <c r="W47" s="248"/>
      <c r="X47" s="342"/>
      <c r="Y47" s="337"/>
      <c r="Z47" s="123"/>
      <c r="AA47" s="83"/>
      <c r="AB47" s="123"/>
      <c r="AC47" s="83"/>
      <c r="AD47" s="123"/>
      <c r="AE47" s="83"/>
      <c r="AF47" s="123"/>
      <c r="AG47" s="243"/>
      <c r="AH47" s="33"/>
      <c r="AI47" s="245"/>
      <c r="AJ47" s="198"/>
      <c r="AK47" s="92"/>
      <c r="AL47" s="126"/>
      <c r="AM47" s="91"/>
      <c r="AN47" s="91"/>
      <c r="AO47" s="197">
        <f t="shared" si="3"/>
        <v>0</v>
      </c>
      <c r="AP47" s="126"/>
      <c r="AQ47" s="217"/>
      <c r="AR47" s="201"/>
      <c r="AS47" s="266"/>
      <c r="AT47" s="94"/>
      <c r="AU47" s="84"/>
      <c r="AV47" s="80"/>
      <c r="AW47" s="81"/>
      <c r="AX47" s="77"/>
      <c r="AY47" s="107"/>
      <c r="AZ47" s="220">
        <f t="shared" si="0"/>
        <v>46</v>
      </c>
      <c r="BA47" s="220">
        <f t="shared" si="1"/>
        <v>-42072</v>
      </c>
    </row>
    <row r="48" spans="1:53" ht="50.1" customHeight="1" x14ac:dyDescent="0.25">
      <c r="A48" s="17">
        <f t="shared" si="2"/>
        <v>34</v>
      </c>
      <c r="B48" s="229">
        <v>41277</v>
      </c>
      <c r="C48" s="222" t="s">
        <v>473</v>
      </c>
      <c r="D48" s="112" t="s">
        <v>698</v>
      </c>
      <c r="E48" s="128" t="s">
        <v>699</v>
      </c>
      <c r="F48" s="183" t="s">
        <v>397</v>
      </c>
      <c r="G48" s="130">
        <v>18</v>
      </c>
      <c r="H48" s="131" t="s">
        <v>382</v>
      </c>
      <c r="I48" s="132" t="s">
        <v>531</v>
      </c>
      <c r="J48" s="189" t="s">
        <v>379</v>
      </c>
      <c r="K48" s="133" t="s">
        <v>700</v>
      </c>
      <c r="L48" s="134" t="s">
        <v>473</v>
      </c>
      <c r="M48" s="334">
        <v>41277</v>
      </c>
      <c r="N48" s="343"/>
      <c r="O48" s="192"/>
      <c r="P48" s="191"/>
      <c r="Q48" s="192"/>
      <c r="R48" s="191"/>
      <c r="S48" s="296" t="s">
        <v>472</v>
      </c>
      <c r="T48" s="302" t="s">
        <v>701</v>
      </c>
      <c r="U48" s="306"/>
      <c r="V48" s="308"/>
      <c r="W48" s="249"/>
      <c r="X48" s="344"/>
      <c r="Y48" s="337"/>
      <c r="Z48" s="33"/>
      <c r="AA48" s="83"/>
      <c r="AB48" s="33"/>
      <c r="AC48" s="83"/>
      <c r="AD48" s="33"/>
      <c r="AE48" s="83"/>
      <c r="AF48" s="33"/>
      <c r="AG48" s="244"/>
      <c r="AH48" s="83"/>
      <c r="AI48" s="246"/>
      <c r="AJ48" s="195"/>
      <c r="AK48" s="92"/>
      <c r="AL48" s="91"/>
      <c r="AM48" s="92"/>
      <c r="AN48" s="351"/>
      <c r="AO48" s="197">
        <f t="shared" si="3"/>
        <v>0</v>
      </c>
      <c r="AP48" s="91"/>
      <c r="AQ48" s="217"/>
      <c r="AR48" s="196"/>
      <c r="AS48" s="265"/>
      <c r="AT48" s="94"/>
      <c r="AU48" s="84"/>
      <c r="AV48" s="136"/>
      <c r="AW48" s="81"/>
      <c r="AX48" s="137"/>
      <c r="AY48" s="138"/>
      <c r="AZ48" s="220">
        <f t="shared" si="0"/>
        <v>0</v>
      </c>
      <c r="BA48" s="220">
        <f t="shared" si="1"/>
        <v>-41277</v>
      </c>
    </row>
    <row r="49" spans="1:53" ht="50.1" customHeight="1" x14ac:dyDescent="0.25">
      <c r="A49" s="17">
        <f t="shared" si="2"/>
        <v>35</v>
      </c>
      <c r="B49" s="228">
        <v>41044</v>
      </c>
      <c r="C49" s="221" t="s">
        <v>473</v>
      </c>
      <c r="D49" s="88" t="s">
        <v>702</v>
      </c>
      <c r="E49" s="100">
        <v>17780</v>
      </c>
      <c r="F49" s="95" t="s">
        <v>419</v>
      </c>
      <c r="G49" s="114">
        <v>31</v>
      </c>
      <c r="H49" s="96" t="s">
        <v>382</v>
      </c>
      <c r="I49" s="97" t="s">
        <v>531</v>
      </c>
      <c r="J49" s="98" t="s">
        <v>379</v>
      </c>
      <c r="K49" s="101" t="s">
        <v>604</v>
      </c>
      <c r="L49" s="124" t="s">
        <v>473</v>
      </c>
      <c r="M49" s="333">
        <v>41584</v>
      </c>
      <c r="N49" s="341"/>
      <c r="O49" s="190"/>
      <c r="P49" s="191"/>
      <c r="Q49" s="190"/>
      <c r="R49" s="191"/>
      <c r="S49" s="294"/>
      <c r="T49" s="300"/>
      <c r="U49" s="306"/>
      <c r="V49" s="308"/>
      <c r="W49" s="248"/>
      <c r="X49" s="342"/>
      <c r="Y49" s="336"/>
      <c r="Z49" s="199"/>
      <c r="AA49" s="33"/>
      <c r="AB49" s="199"/>
      <c r="AC49" s="33"/>
      <c r="AD49" s="199"/>
      <c r="AE49" s="33"/>
      <c r="AF49" s="199"/>
      <c r="AG49" s="243"/>
      <c r="AH49" s="227"/>
      <c r="AI49" s="245"/>
      <c r="AJ49" s="125"/>
      <c r="AK49" s="91"/>
      <c r="AL49" s="126"/>
      <c r="AM49" s="91"/>
      <c r="AN49" s="91"/>
      <c r="AO49" s="197">
        <f t="shared" si="3"/>
        <v>0</v>
      </c>
      <c r="AP49" s="126"/>
      <c r="AQ49" s="217"/>
      <c r="AR49" s="201"/>
      <c r="AS49" s="266"/>
      <c r="AT49" s="94"/>
      <c r="AU49" s="84"/>
      <c r="AV49" s="80"/>
      <c r="AW49" s="81"/>
      <c r="AX49" s="77"/>
      <c r="AY49" s="107"/>
      <c r="AZ49" s="220">
        <f t="shared" si="0"/>
        <v>540</v>
      </c>
      <c r="BA49" s="220">
        <f t="shared" si="1"/>
        <v>-41584</v>
      </c>
    </row>
    <row r="50" spans="1:53" ht="50.1" customHeight="1" x14ac:dyDescent="0.25">
      <c r="A50" s="17">
        <f t="shared" si="2"/>
        <v>36</v>
      </c>
      <c r="B50" s="229">
        <v>42756</v>
      </c>
      <c r="C50" s="222" t="s">
        <v>473</v>
      </c>
      <c r="D50" s="112" t="s">
        <v>703</v>
      </c>
      <c r="E50" s="100">
        <v>17819</v>
      </c>
      <c r="F50" s="95" t="s">
        <v>463</v>
      </c>
      <c r="G50" s="114">
        <v>33</v>
      </c>
      <c r="H50" s="96" t="s">
        <v>382</v>
      </c>
      <c r="I50" s="97" t="s">
        <v>531</v>
      </c>
      <c r="J50" s="189" t="s">
        <v>379</v>
      </c>
      <c r="K50" s="133" t="s">
        <v>604</v>
      </c>
      <c r="L50" s="134" t="s">
        <v>462</v>
      </c>
      <c r="M50" s="334">
        <v>42759</v>
      </c>
      <c r="N50" s="343"/>
      <c r="O50" s="192"/>
      <c r="P50" s="191"/>
      <c r="Q50" s="192"/>
      <c r="R50" s="191"/>
      <c r="S50" s="295"/>
      <c r="T50" s="301"/>
      <c r="U50" s="306"/>
      <c r="V50" s="308"/>
      <c r="W50" s="249"/>
      <c r="X50" s="345"/>
      <c r="Y50" s="337"/>
      <c r="Z50" s="33"/>
      <c r="AA50" s="83"/>
      <c r="AB50" s="33"/>
      <c r="AC50" s="83"/>
      <c r="AD50" s="33"/>
      <c r="AE50" s="83"/>
      <c r="AF50" s="33"/>
      <c r="AG50" s="244"/>
      <c r="AH50" s="83"/>
      <c r="AI50" s="246"/>
      <c r="AJ50" s="102"/>
      <c r="AK50" s="92"/>
      <c r="AL50" s="91"/>
      <c r="AM50" s="92"/>
      <c r="AN50" s="351"/>
      <c r="AO50" s="197">
        <f t="shared" si="3"/>
        <v>0</v>
      </c>
      <c r="AP50" s="91"/>
      <c r="AQ50" s="217"/>
      <c r="AR50" s="196"/>
      <c r="AS50" s="265"/>
      <c r="AT50" s="210"/>
      <c r="AU50" s="84"/>
      <c r="AV50" s="136"/>
      <c r="AW50" s="209"/>
      <c r="AX50" s="137"/>
      <c r="AY50" s="138"/>
      <c r="AZ50" s="220">
        <f t="shared" si="0"/>
        <v>3</v>
      </c>
      <c r="BA50" s="220">
        <f t="shared" si="1"/>
        <v>-42759</v>
      </c>
    </row>
    <row r="51" spans="1:53" ht="50.1" customHeight="1" x14ac:dyDescent="0.25">
      <c r="A51" s="17">
        <f t="shared" si="2"/>
        <v>37</v>
      </c>
      <c r="B51" s="228">
        <v>43298</v>
      </c>
      <c r="C51" s="221" t="s">
        <v>473</v>
      </c>
      <c r="D51" s="88" t="s">
        <v>705</v>
      </c>
      <c r="E51" s="128" t="s">
        <v>704</v>
      </c>
      <c r="F51" s="183" t="s">
        <v>427</v>
      </c>
      <c r="G51" s="130">
        <v>48</v>
      </c>
      <c r="H51" s="131" t="s">
        <v>382</v>
      </c>
      <c r="I51" s="132" t="s">
        <v>531</v>
      </c>
      <c r="J51" s="98" t="s">
        <v>379</v>
      </c>
      <c r="K51" s="101" t="s">
        <v>706</v>
      </c>
      <c r="L51" s="124" t="s">
        <v>462</v>
      </c>
      <c r="M51" s="333">
        <v>43298</v>
      </c>
      <c r="N51" s="341">
        <v>44025</v>
      </c>
      <c r="O51" s="190"/>
      <c r="P51" s="191"/>
      <c r="Q51" s="190"/>
      <c r="R51" s="191" t="s">
        <v>472</v>
      </c>
      <c r="S51" s="294" t="s">
        <v>472</v>
      </c>
      <c r="T51" s="300" t="s">
        <v>707</v>
      </c>
      <c r="U51" s="306"/>
      <c r="V51" s="308"/>
      <c r="W51" s="248"/>
      <c r="X51" s="342"/>
      <c r="Y51" s="337"/>
      <c r="Z51" s="123"/>
      <c r="AA51" s="83"/>
      <c r="AB51" s="123"/>
      <c r="AC51" s="83"/>
      <c r="AD51" s="123"/>
      <c r="AE51" s="83"/>
      <c r="AF51" s="123"/>
      <c r="AG51" s="243"/>
      <c r="AH51" s="33"/>
      <c r="AI51" s="245"/>
      <c r="AJ51" s="125"/>
      <c r="AK51" s="92"/>
      <c r="AL51" s="126"/>
      <c r="AM51" s="91"/>
      <c r="AN51" s="91"/>
      <c r="AO51" s="197">
        <f t="shared" si="3"/>
        <v>0</v>
      </c>
      <c r="AP51" s="126"/>
      <c r="AQ51" s="217"/>
      <c r="AR51" s="201"/>
      <c r="AS51" s="266"/>
      <c r="AT51" s="94"/>
      <c r="AU51" s="84"/>
      <c r="AV51" s="80"/>
      <c r="AW51" s="81"/>
      <c r="AX51" s="77"/>
      <c r="AY51" s="107"/>
      <c r="AZ51" s="220">
        <f t="shared" si="0"/>
        <v>0</v>
      </c>
      <c r="BA51" s="220">
        <f t="shared" si="1"/>
        <v>-43298</v>
      </c>
    </row>
    <row r="52" spans="1:53" ht="50.1" customHeight="1" x14ac:dyDescent="0.25">
      <c r="A52" s="17">
        <f t="shared" si="2"/>
        <v>38</v>
      </c>
      <c r="B52" s="229">
        <v>43467</v>
      </c>
      <c r="C52" s="222" t="s">
        <v>473</v>
      </c>
      <c r="D52" s="112" t="s">
        <v>708</v>
      </c>
      <c r="E52" s="100" t="s">
        <v>709</v>
      </c>
      <c r="F52" s="95" t="s">
        <v>390</v>
      </c>
      <c r="G52" s="114">
        <v>38</v>
      </c>
      <c r="H52" s="96" t="s">
        <v>383</v>
      </c>
      <c r="I52" s="97" t="s">
        <v>531</v>
      </c>
      <c r="J52" s="189" t="s">
        <v>379</v>
      </c>
      <c r="K52" s="133" t="s">
        <v>604</v>
      </c>
      <c r="L52" s="134" t="s">
        <v>473</v>
      </c>
      <c r="M52" s="334">
        <v>43467</v>
      </c>
      <c r="N52" s="343"/>
      <c r="O52" s="192"/>
      <c r="P52" s="191"/>
      <c r="Q52" s="192"/>
      <c r="R52" s="191"/>
      <c r="S52" s="295"/>
      <c r="T52" s="301"/>
      <c r="U52" s="306"/>
      <c r="V52" s="308"/>
      <c r="W52" s="249"/>
      <c r="X52" s="344"/>
      <c r="Y52" s="337"/>
      <c r="Z52" s="33"/>
      <c r="AA52" s="83"/>
      <c r="AB52" s="33"/>
      <c r="AC52" s="83"/>
      <c r="AD52" s="33"/>
      <c r="AE52" s="83"/>
      <c r="AF52" s="33"/>
      <c r="AG52" s="244"/>
      <c r="AH52" s="83"/>
      <c r="AI52" s="246"/>
      <c r="AJ52" s="102"/>
      <c r="AK52" s="92"/>
      <c r="AL52" s="91"/>
      <c r="AM52" s="92"/>
      <c r="AN52" s="351"/>
      <c r="AO52" s="197">
        <f t="shared" si="3"/>
        <v>0</v>
      </c>
      <c r="AP52" s="91"/>
      <c r="AQ52" s="217"/>
      <c r="AR52" s="196"/>
      <c r="AS52" s="265"/>
      <c r="AT52" s="94"/>
      <c r="AU52" s="84"/>
      <c r="AV52" s="136"/>
      <c r="AW52" s="81"/>
      <c r="AX52" s="137"/>
      <c r="AY52" s="138" t="s">
        <v>710</v>
      </c>
      <c r="AZ52" s="220">
        <f t="shared" si="0"/>
        <v>0</v>
      </c>
      <c r="BA52" s="220">
        <f t="shared" si="1"/>
        <v>-43467</v>
      </c>
    </row>
    <row r="53" spans="1:53" ht="50.1" customHeight="1" x14ac:dyDescent="0.25">
      <c r="A53" s="17">
        <f t="shared" si="2"/>
        <v>39</v>
      </c>
      <c r="B53" s="228">
        <v>43668</v>
      </c>
      <c r="C53" s="221" t="s">
        <v>473</v>
      </c>
      <c r="D53" s="88" t="s">
        <v>712</v>
      </c>
      <c r="E53" s="128" t="s">
        <v>711</v>
      </c>
      <c r="F53" s="183" t="s">
        <v>435</v>
      </c>
      <c r="G53" s="130">
        <v>53</v>
      </c>
      <c r="H53" s="131" t="s">
        <v>382</v>
      </c>
      <c r="I53" s="132" t="s">
        <v>503</v>
      </c>
      <c r="J53" s="98" t="s">
        <v>379</v>
      </c>
      <c r="K53" s="101" t="s">
        <v>604</v>
      </c>
      <c r="L53" s="124" t="s">
        <v>473</v>
      </c>
      <c r="M53" s="333">
        <v>43678</v>
      </c>
      <c r="N53" s="341"/>
      <c r="O53" s="190"/>
      <c r="P53" s="191"/>
      <c r="Q53" s="190"/>
      <c r="R53" s="191"/>
      <c r="S53" s="294"/>
      <c r="T53" s="300"/>
      <c r="U53" s="306"/>
      <c r="V53" s="308"/>
      <c r="W53" s="248"/>
      <c r="X53" s="342"/>
      <c r="Y53" s="337"/>
      <c r="Z53" s="123"/>
      <c r="AA53" s="83"/>
      <c r="AB53" s="123"/>
      <c r="AC53" s="83"/>
      <c r="AD53" s="123"/>
      <c r="AE53" s="83"/>
      <c r="AF53" s="123"/>
      <c r="AG53" s="243"/>
      <c r="AH53" s="33"/>
      <c r="AI53" s="245"/>
      <c r="AJ53" s="125"/>
      <c r="AK53" s="92"/>
      <c r="AL53" s="126"/>
      <c r="AM53" s="91"/>
      <c r="AN53" s="91"/>
      <c r="AO53" s="197">
        <f t="shared" si="3"/>
        <v>0</v>
      </c>
      <c r="AP53" s="126"/>
      <c r="AQ53" s="217"/>
      <c r="AR53" s="201"/>
      <c r="AS53" s="266"/>
      <c r="AT53" s="94"/>
      <c r="AU53" s="84"/>
      <c r="AV53" s="80"/>
      <c r="AW53" s="81"/>
      <c r="AX53" s="77"/>
      <c r="AY53" s="107"/>
      <c r="AZ53" s="220">
        <f t="shared" si="0"/>
        <v>10</v>
      </c>
      <c r="BA53" s="220">
        <f t="shared" si="1"/>
        <v>-43678</v>
      </c>
    </row>
    <row r="54" spans="1:53" ht="50.1" customHeight="1" x14ac:dyDescent="0.25">
      <c r="A54" s="17">
        <f t="shared" si="2"/>
        <v>40</v>
      </c>
      <c r="B54" s="229">
        <v>43328</v>
      </c>
      <c r="C54" s="222" t="s">
        <v>473</v>
      </c>
      <c r="D54" s="112" t="s">
        <v>714</v>
      </c>
      <c r="E54" s="100" t="s">
        <v>713</v>
      </c>
      <c r="F54" s="95" t="s">
        <v>435</v>
      </c>
      <c r="G54" s="114">
        <v>15</v>
      </c>
      <c r="H54" s="96" t="s">
        <v>383</v>
      </c>
      <c r="I54" s="97" t="s">
        <v>531</v>
      </c>
      <c r="J54" s="189" t="s">
        <v>379</v>
      </c>
      <c r="K54" s="133" t="s">
        <v>654</v>
      </c>
      <c r="L54" s="134" t="s">
        <v>473</v>
      </c>
      <c r="M54" s="334">
        <v>43328</v>
      </c>
      <c r="N54" s="343"/>
      <c r="O54" s="192"/>
      <c r="P54" s="191"/>
      <c r="Q54" s="192"/>
      <c r="R54" s="191"/>
      <c r="S54" s="295"/>
      <c r="T54" s="301"/>
      <c r="U54" s="306"/>
      <c r="V54" s="308"/>
      <c r="W54" s="249"/>
      <c r="X54" s="344"/>
      <c r="Y54" s="337"/>
      <c r="Z54" s="33"/>
      <c r="AA54" s="83"/>
      <c r="AB54" s="33"/>
      <c r="AC54" s="83"/>
      <c r="AD54" s="33"/>
      <c r="AE54" s="83"/>
      <c r="AF54" s="33"/>
      <c r="AG54" s="244"/>
      <c r="AH54" s="83"/>
      <c r="AI54" s="246"/>
      <c r="AJ54" s="102"/>
      <c r="AK54" s="92"/>
      <c r="AL54" s="91"/>
      <c r="AM54" s="92"/>
      <c r="AN54" s="351"/>
      <c r="AO54" s="197">
        <f t="shared" si="3"/>
        <v>0</v>
      </c>
      <c r="AP54" s="91"/>
      <c r="AQ54" s="217"/>
      <c r="AR54" s="196"/>
      <c r="AS54" s="265"/>
      <c r="AT54" s="94" t="s">
        <v>472</v>
      </c>
      <c r="AU54" s="84">
        <v>44022</v>
      </c>
      <c r="AV54" s="136"/>
      <c r="AW54" s="81"/>
      <c r="AX54" s="137"/>
      <c r="AY54" s="138"/>
      <c r="AZ54" s="220">
        <f t="shared" si="0"/>
        <v>0</v>
      </c>
      <c r="BA54" s="220">
        <f t="shared" si="1"/>
        <v>694</v>
      </c>
    </row>
    <row r="55" spans="1:53" ht="50.1" customHeight="1" x14ac:dyDescent="0.25">
      <c r="A55" s="17">
        <f t="shared" si="2"/>
        <v>41</v>
      </c>
      <c r="B55" s="228">
        <v>43393</v>
      </c>
      <c r="C55" s="221" t="s">
        <v>473</v>
      </c>
      <c r="D55" s="88" t="s">
        <v>716</v>
      </c>
      <c r="E55" s="128" t="s">
        <v>715</v>
      </c>
      <c r="F55" s="183" t="s">
        <v>399</v>
      </c>
      <c r="G55" s="130">
        <v>46</v>
      </c>
      <c r="H55" s="131" t="s">
        <v>383</v>
      </c>
      <c r="I55" s="132" t="s">
        <v>531</v>
      </c>
      <c r="J55" s="98" t="s">
        <v>503</v>
      </c>
      <c r="K55" s="101" t="s">
        <v>719</v>
      </c>
      <c r="L55" s="124" t="s">
        <v>473</v>
      </c>
      <c r="M55" s="333">
        <v>43579</v>
      </c>
      <c r="N55" s="341">
        <v>44022</v>
      </c>
      <c r="O55" s="190"/>
      <c r="P55" s="191"/>
      <c r="Q55" s="190"/>
      <c r="R55" s="191" t="s">
        <v>472</v>
      </c>
      <c r="S55" s="294" t="s">
        <v>472</v>
      </c>
      <c r="T55" s="300" t="s">
        <v>717</v>
      </c>
      <c r="U55" s="306" t="s">
        <v>459</v>
      </c>
      <c r="V55" s="308" t="s">
        <v>718</v>
      </c>
      <c r="W55" s="248"/>
      <c r="X55" s="342"/>
      <c r="Y55" s="337"/>
      <c r="Z55" s="123"/>
      <c r="AA55" s="83"/>
      <c r="AB55" s="123"/>
      <c r="AC55" s="83"/>
      <c r="AD55" s="123"/>
      <c r="AE55" s="83"/>
      <c r="AF55" s="123"/>
      <c r="AG55" s="243"/>
      <c r="AH55" s="33"/>
      <c r="AI55" s="245"/>
      <c r="AJ55" s="125"/>
      <c r="AK55" s="92"/>
      <c r="AL55" s="126"/>
      <c r="AM55" s="91"/>
      <c r="AN55" s="91"/>
      <c r="AO55" s="197">
        <f t="shared" si="3"/>
        <v>0</v>
      </c>
      <c r="AP55" s="126"/>
      <c r="AQ55" s="217"/>
      <c r="AR55" s="201"/>
      <c r="AS55" s="266"/>
      <c r="AT55" s="94"/>
      <c r="AU55" s="84"/>
      <c r="AV55" s="80"/>
      <c r="AW55" s="81"/>
      <c r="AX55" s="77"/>
      <c r="AY55" s="107"/>
      <c r="AZ55" s="220">
        <f t="shared" si="0"/>
        <v>186</v>
      </c>
      <c r="BA55" s="220">
        <f t="shared" si="1"/>
        <v>-43579</v>
      </c>
    </row>
    <row r="56" spans="1:53" ht="50.1" customHeight="1" x14ac:dyDescent="0.25">
      <c r="A56" s="17">
        <f t="shared" si="2"/>
        <v>42</v>
      </c>
      <c r="B56" s="229">
        <v>43761</v>
      </c>
      <c r="C56" s="222" t="s">
        <v>473</v>
      </c>
      <c r="D56" s="112" t="s">
        <v>721</v>
      </c>
      <c r="E56" s="100" t="s">
        <v>720</v>
      </c>
      <c r="F56" s="95" t="s">
        <v>399</v>
      </c>
      <c r="G56" s="114">
        <v>25</v>
      </c>
      <c r="H56" s="96" t="s">
        <v>383</v>
      </c>
      <c r="I56" s="97" t="s">
        <v>531</v>
      </c>
      <c r="J56" s="189" t="s">
        <v>503</v>
      </c>
      <c r="K56" s="133" t="s">
        <v>723</v>
      </c>
      <c r="L56" s="134" t="s">
        <v>473</v>
      </c>
      <c r="M56" s="334">
        <v>43764</v>
      </c>
      <c r="N56" s="343">
        <v>44033</v>
      </c>
      <c r="O56" s="192"/>
      <c r="P56" s="191"/>
      <c r="Q56" s="192"/>
      <c r="R56" s="191"/>
      <c r="S56" s="295" t="s">
        <v>472</v>
      </c>
      <c r="T56" s="301" t="s">
        <v>722</v>
      </c>
      <c r="U56" s="306" t="s">
        <v>472</v>
      </c>
      <c r="V56" s="308" t="s">
        <v>724</v>
      </c>
      <c r="W56" s="249"/>
      <c r="X56" s="344"/>
      <c r="Y56" s="337"/>
      <c r="Z56" s="33"/>
      <c r="AA56" s="83"/>
      <c r="AB56" s="33"/>
      <c r="AC56" s="83"/>
      <c r="AD56" s="33"/>
      <c r="AE56" s="83"/>
      <c r="AF56" s="33"/>
      <c r="AG56" s="244"/>
      <c r="AH56" s="83"/>
      <c r="AI56" s="246"/>
      <c r="AJ56" s="102"/>
      <c r="AK56" s="92"/>
      <c r="AL56" s="91"/>
      <c r="AM56" s="92"/>
      <c r="AN56" s="351"/>
      <c r="AO56" s="197">
        <f t="shared" si="3"/>
        <v>0</v>
      </c>
      <c r="AP56" s="91"/>
      <c r="AQ56" s="217"/>
      <c r="AR56" s="196"/>
      <c r="AS56" s="265"/>
      <c r="AT56" s="94"/>
      <c r="AU56" s="84"/>
      <c r="AV56" s="136"/>
      <c r="AW56" s="81"/>
      <c r="AX56" s="137"/>
      <c r="AY56" s="138"/>
      <c r="AZ56" s="220">
        <f t="shared" si="0"/>
        <v>3</v>
      </c>
      <c r="BA56" s="220">
        <f t="shared" si="1"/>
        <v>-43764</v>
      </c>
    </row>
    <row r="57" spans="1:53" ht="50.1" customHeight="1" x14ac:dyDescent="0.25">
      <c r="A57" s="17">
        <f t="shared" si="2"/>
        <v>43</v>
      </c>
      <c r="B57" s="228">
        <v>43704</v>
      </c>
      <c r="C57" s="221" t="s">
        <v>473</v>
      </c>
      <c r="D57" s="88" t="s">
        <v>725</v>
      </c>
      <c r="E57" s="128" t="s">
        <v>726</v>
      </c>
      <c r="F57" s="183" t="s">
        <v>387</v>
      </c>
      <c r="G57" s="130">
        <v>44</v>
      </c>
      <c r="H57" s="131" t="s">
        <v>383</v>
      </c>
      <c r="I57" s="132" t="s">
        <v>531</v>
      </c>
      <c r="J57" s="98" t="s">
        <v>379</v>
      </c>
      <c r="K57" s="101" t="s">
        <v>729</v>
      </c>
      <c r="L57" s="124" t="s">
        <v>462</v>
      </c>
      <c r="M57" s="333">
        <v>43769</v>
      </c>
      <c r="N57" s="341">
        <v>44025</v>
      </c>
      <c r="O57" s="190"/>
      <c r="P57" s="191" t="s">
        <v>459</v>
      </c>
      <c r="Q57" s="190"/>
      <c r="R57" s="191"/>
      <c r="S57" s="294"/>
      <c r="T57" s="300"/>
      <c r="U57" s="306"/>
      <c r="V57" s="308"/>
      <c r="W57" s="248"/>
      <c r="X57" s="342"/>
      <c r="Y57" s="337"/>
      <c r="Z57" s="123"/>
      <c r="AA57" s="83"/>
      <c r="AB57" s="123"/>
      <c r="AC57" s="83"/>
      <c r="AD57" s="123"/>
      <c r="AE57" s="83"/>
      <c r="AF57" s="123"/>
      <c r="AG57" s="243"/>
      <c r="AH57" s="33"/>
      <c r="AI57" s="245"/>
      <c r="AJ57" s="125"/>
      <c r="AK57" s="92"/>
      <c r="AL57" s="126"/>
      <c r="AM57" s="91"/>
      <c r="AN57" s="91"/>
      <c r="AO57" s="197">
        <f t="shared" si="3"/>
        <v>0</v>
      </c>
      <c r="AP57" s="126"/>
      <c r="AQ57" s="217"/>
      <c r="AR57" s="201"/>
      <c r="AS57" s="266"/>
      <c r="AT57" s="94"/>
      <c r="AU57" s="84"/>
      <c r="AV57" s="80"/>
      <c r="AW57" s="81"/>
      <c r="AX57" s="77"/>
      <c r="AY57" s="107"/>
      <c r="AZ57" s="220">
        <f t="shared" si="0"/>
        <v>65</v>
      </c>
      <c r="BA57" s="220">
        <f t="shared" si="1"/>
        <v>-43769</v>
      </c>
    </row>
    <row r="58" spans="1:53" ht="50.1" customHeight="1" x14ac:dyDescent="0.25">
      <c r="A58" s="17">
        <f t="shared" si="2"/>
        <v>44</v>
      </c>
      <c r="B58" s="229">
        <v>43810</v>
      </c>
      <c r="C58" s="222" t="s">
        <v>462</v>
      </c>
      <c r="D58" s="112" t="s">
        <v>728</v>
      </c>
      <c r="E58" s="100" t="s">
        <v>727</v>
      </c>
      <c r="F58" s="95" t="s">
        <v>447</v>
      </c>
      <c r="G58" s="114">
        <v>50</v>
      </c>
      <c r="H58" s="96" t="s">
        <v>382</v>
      </c>
      <c r="I58" s="97" t="s">
        <v>531</v>
      </c>
      <c r="J58" s="189" t="s">
        <v>379</v>
      </c>
      <c r="K58" s="133" t="s">
        <v>730</v>
      </c>
      <c r="L58" s="134" t="s">
        <v>462</v>
      </c>
      <c r="M58" s="334">
        <v>43837</v>
      </c>
      <c r="N58" s="343">
        <v>44042</v>
      </c>
      <c r="O58" s="192"/>
      <c r="P58" s="191"/>
      <c r="Q58" s="192"/>
      <c r="R58" s="191"/>
      <c r="S58" s="295" t="s">
        <v>459</v>
      </c>
      <c r="T58" s="301" t="s">
        <v>731</v>
      </c>
      <c r="U58" s="306"/>
      <c r="V58" s="308"/>
      <c r="W58" s="249"/>
      <c r="X58" s="344"/>
      <c r="Y58" s="337"/>
      <c r="Z58" s="33"/>
      <c r="AA58" s="83"/>
      <c r="AB58" s="33"/>
      <c r="AC58" s="83"/>
      <c r="AD58" s="33"/>
      <c r="AE58" s="83"/>
      <c r="AF58" s="33"/>
      <c r="AG58" s="244"/>
      <c r="AH58" s="83"/>
      <c r="AI58" s="246"/>
      <c r="AJ58" s="102"/>
      <c r="AK58" s="92"/>
      <c r="AL58" s="91"/>
      <c r="AM58" s="92"/>
      <c r="AN58" s="351"/>
      <c r="AO58" s="197">
        <f t="shared" si="3"/>
        <v>0</v>
      </c>
      <c r="AP58" s="91"/>
      <c r="AQ58" s="217"/>
      <c r="AR58" s="196"/>
      <c r="AS58" s="265"/>
      <c r="AT58" s="94"/>
      <c r="AU58" s="84"/>
      <c r="AV58" s="136"/>
      <c r="AW58" s="81"/>
      <c r="AX58" s="137"/>
      <c r="AY58" s="138"/>
      <c r="AZ58" s="220">
        <f t="shared" si="0"/>
        <v>27</v>
      </c>
      <c r="BA58" s="220">
        <f t="shared" si="1"/>
        <v>-43837</v>
      </c>
    </row>
    <row r="59" spans="1:53" ht="50.1" customHeight="1" x14ac:dyDescent="0.25">
      <c r="A59" s="17">
        <f t="shared" si="2"/>
        <v>45</v>
      </c>
      <c r="B59" s="228">
        <v>43807</v>
      </c>
      <c r="C59" s="221" t="s">
        <v>462</v>
      </c>
      <c r="D59" s="88" t="s">
        <v>733</v>
      </c>
      <c r="E59" s="128" t="s">
        <v>732</v>
      </c>
      <c r="F59" s="183" t="s">
        <v>461</v>
      </c>
      <c r="G59" s="130">
        <v>39</v>
      </c>
      <c r="H59" s="131" t="s">
        <v>383</v>
      </c>
      <c r="I59" s="132" t="s">
        <v>531</v>
      </c>
      <c r="J59" s="98" t="s">
        <v>379</v>
      </c>
      <c r="K59" s="101" t="s">
        <v>734</v>
      </c>
      <c r="L59" s="124" t="s">
        <v>473</v>
      </c>
      <c r="M59" s="333">
        <v>43979</v>
      </c>
      <c r="N59" s="341">
        <v>44034</v>
      </c>
      <c r="O59" s="190"/>
      <c r="P59" s="191"/>
      <c r="Q59" s="190"/>
      <c r="R59" s="191"/>
      <c r="S59" s="294" t="s">
        <v>459</v>
      </c>
      <c r="T59" s="300" t="s">
        <v>735</v>
      </c>
      <c r="U59" s="306" t="s">
        <v>459</v>
      </c>
      <c r="V59" s="308" t="s">
        <v>736</v>
      </c>
      <c r="W59" s="248"/>
      <c r="X59" s="342"/>
      <c r="Y59" s="337"/>
      <c r="Z59" s="123"/>
      <c r="AA59" s="83"/>
      <c r="AB59" s="123"/>
      <c r="AC59" s="83"/>
      <c r="AD59" s="123"/>
      <c r="AE59" s="83"/>
      <c r="AF59" s="123"/>
      <c r="AG59" s="243"/>
      <c r="AH59" s="33"/>
      <c r="AI59" s="245"/>
      <c r="AJ59" s="125"/>
      <c r="AK59" s="92"/>
      <c r="AL59" s="126"/>
      <c r="AM59" s="91"/>
      <c r="AN59" s="91"/>
      <c r="AO59" s="197">
        <f t="shared" si="3"/>
        <v>0</v>
      </c>
      <c r="AP59" s="126"/>
      <c r="AQ59" s="217"/>
      <c r="AR59" s="201"/>
      <c r="AS59" s="266"/>
      <c r="AT59" s="94"/>
      <c r="AU59" s="84"/>
      <c r="AV59" s="80"/>
      <c r="AW59" s="81"/>
      <c r="AX59" s="77"/>
      <c r="AY59" s="107" t="s">
        <v>737</v>
      </c>
      <c r="AZ59" s="220">
        <f t="shared" si="0"/>
        <v>172</v>
      </c>
      <c r="BA59" s="220">
        <f t="shared" si="1"/>
        <v>-43979</v>
      </c>
    </row>
    <row r="60" spans="1:53" ht="50.1" customHeight="1" x14ac:dyDescent="0.25">
      <c r="A60" s="17">
        <f t="shared" si="2"/>
        <v>46</v>
      </c>
      <c r="B60" s="229">
        <v>43867</v>
      </c>
      <c r="C60" s="222" t="s">
        <v>473</v>
      </c>
      <c r="D60" s="112" t="s">
        <v>738</v>
      </c>
      <c r="E60" s="100">
        <v>35180</v>
      </c>
      <c r="F60" s="95" t="s">
        <v>410</v>
      </c>
      <c r="G60" s="114">
        <v>51</v>
      </c>
      <c r="H60" s="96" t="s">
        <v>382</v>
      </c>
      <c r="I60" s="97" t="s">
        <v>525</v>
      </c>
      <c r="J60" s="189" t="s">
        <v>379</v>
      </c>
      <c r="K60" s="133" t="s">
        <v>739</v>
      </c>
      <c r="L60" s="134" t="s">
        <v>473</v>
      </c>
      <c r="M60" s="334">
        <v>43873</v>
      </c>
      <c r="N60" s="343">
        <v>44026</v>
      </c>
      <c r="O60" s="193"/>
      <c r="P60" s="191"/>
      <c r="Q60" s="193"/>
      <c r="R60" s="191"/>
      <c r="S60" s="296"/>
      <c r="T60" s="302"/>
      <c r="U60" s="306"/>
      <c r="V60" s="308"/>
      <c r="W60" s="249"/>
      <c r="X60" s="345"/>
      <c r="Y60" s="337"/>
      <c r="Z60" s="33"/>
      <c r="AA60" s="83"/>
      <c r="AB60" s="33"/>
      <c r="AC60" s="83"/>
      <c r="AD60" s="33"/>
      <c r="AE60" s="83"/>
      <c r="AF60" s="33"/>
      <c r="AG60" s="244"/>
      <c r="AH60" s="83"/>
      <c r="AI60" s="246"/>
      <c r="AJ60" s="102"/>
      <c r="AK60" s="92"/>
      <c r="AL60" s="91"/>
      <c r="AM60" s="92"/>
      <c r="AN60" s="351"/>
      <c r="AO60" s="197">
        <f t="shared" si="3"/>
        <v>0</v>
      </c>
      <c r="AP60" s="91"/>
      <c r="AQ60" s="217"/>
      <c r="AR60" s="196"/>
      <c r="AS60" s="265"/>
      <c r="AT60" s="94"/>
      <c r="AU60" s="84"/>
      <c r="AV60" s="136"/>
      <c r="AW60" s="81"/>
      <c r="AX60" s="137"/>
      <c r="AY60" s="138"/>
      <c r="AZ60" s="220">
        <f t="shared" si="0"/>
        <v>6</v>
      </c>
      <c r="BA60" s="220">
        <f t="shared" si="1"/>
        <v>-43873</v>
      </c>
    </row>
    <row r="61" spans="1:53" ht="50.1" customHeight="1" x14ac:dyDescent="0.25">
      <c r="A61" s="17">
        <f t="shared" si="2"/>
        <v>47</v>
      </c>
      <c r="B61" s="228">
        <v>43830</v>
      </c>
      <c r="C61" s="221" t="s">
        <v>473</v>
      </c>
      <c r="D61" s="88" t="s">
        <v>741</v>
      </c>
      <c r="E61" s="128" t="s">
        <v>740</v>
      </c>
      <c r="F61" s="183" t="s">
        <v>387</v>
      </c>
      <c r="G61" s="130">
        <v>58</v>
      </c>
      <c r="H61" s="131" t="s">
        <v>382</v>
      </c>
      <c r="I61" s="132" t="s">
        <v>531</v>
      </c>
      <c r="J61" s="98" t="s">
        <v>379</v>
      </c>
      <c r="K61" s="101" t="s">
        <v>742</v>
      </c>
      <c r="L61" s="124" t="s">
        <v>462</v>
      </c>
      <c r="M61" s="333">
        <v>43838</v>
      </c>
      <c r="N61" s="341">
        <v>44019</v>
      </c>
      <c r="O61" s="190"/>
      <c r="P61" s="191"/>
      <c r="Q61" s="190"/>
      <c r="R61" s="191"/>
      <c r="S61" s="294" t="s">
        <v>459</v>
      </c>
      <c r="T61" s="300" t="s">
        <v>722</v>
      </c>
      <c r="U61" s="306"/>
      <c r="V61" s="308"/>
      <c r="W61" s="248"/>
      <c r="X61" s="342"/>
      <c r="Y61" s="336"/>
      <c r="Z61" s="123"/>
      <c r="AA61" s="33"/>
      <c r="AB61" s="123"/>
      <c r="AC61" s="33"/>
      <c r="AD61" s="123"/>
      <c r="AE61" s="33"/>
      <c r="AF61" s="123"/>
      <c r="AG61" s="243"/>
      <c r="AH61" s="33"/>
      <c r="AI61" s="245"/>
      <c r="AJ61" s="125"/>
      <c r="AK61" s="91"/>
      <c r="AL61" s="126"/>
      <c r="AM61" s="91"/>
      <c r="AN61" s="91"/>
      <c r="AO61" s="197">
        <f t="shared" si="3"/>
        <v>0</v>
      </c>
      <c r="AP61" s="126"/>
      <c r="AQ61" s="217"/>
      <c r="AR61" s="201"/>
      <c r="AS61" s="266"/>
      <c r="AT61" s="94"/>
      <c r="AU61" s="84"/>
      <c r="AV61" s="80"/>
      <c r="AW61" s="81"/>
      <c r="AX61" s="77"/>
      <c r="AY61" s="107"/>
      <c r="AZ61" s="220">
        <f t="shared" si="0"/>
        <v>8</v>
      </c>
      <c r="BA61" s="220">
        <f t="shared" si="1"/>
        <v>-43838</v>
      </c>
    </row>
    <row r="62" spans="1:53" ht="50.1" customHeight="1" x14ac:dyDescent="0.25">
      <c r="A62" s="17">
        <f t="shared" si="2"/>
        <v>48</v>
      </c>
      <c r="B62" s="229">
        <v>43829</v>
      </c>
      <c r="C62" s="222" t="s">
        <v>473</v>
      </c>
      <c r="D62" s="112" t="s">
        <v>744</v>
      </c>
      <c r="E62" s="100" t="s">
        <v>743</v>
      </c>
      <c r="F62" s="95" t="s">
        <v>425</v>
      </c>
      <c r="G62" s="114">
        <v>61</v>
      </c>
      <c r="H62" s="96" t="s">
        <v>382</v>
      </c>
      <c r="I62" s="97" t="s">
        <v>531</v>
      </c>
      <c r="J62" s="189" t="s">
        <v>379</v>
      </c>
      <c r="K62" s="133" t="s">
        <v>604</v>
      </c>
      <c r="L62" s="134" t="s">
        <v>473</v>
      </c>
      <c r="M62" s="334">
        <v>43908</v>
      </c>
      <c r="N62" s="343">
        <v>44035</v>
      </c>
      <c r="O62" s="192"/>
      <c r="P62" s="191"/>
      <c r="Q62" s="192"/>
      <c r="R62" s="191"/>
      <c r="S62" s="295"/>
      <c r="T62" s="301"/>
      <c r="U62" s="306" t="s">
        <v>459</v>
      </c>
      <c r="V62" s="308" t="s">
        <v>745</v>
      </c>
      <c r="W62" s="249"/>
      <c r="X62" s="345"/>
      <c r="Y62" s="337"/>
      <c r="Z62" s="33"/>
      <c r="AA62" s="83"/>
      <c r="AB62" s="33"/>
      <c r="AC62" s="83"/>
      <c r="AD62" s="33"/>
      <c r="AE62" s="83"/>
      <c r="AF62" s="33"/>
      <c r="AG62" s="244"/>
      <c r="AH62" s="83"/>
      <c r="AI62" s="246"/>
      <c r="AJ62" s="102"/>
      <c r="AK62" s="92"/>
      <c r="AL62" s="91"/>
      <c r="AM62" s="92"/>
      <c r="AN62" s="351"/>
      <c r="AO62" s="197">
        <f t="shared" si="3"/>
        <v>0</v>
      </c>
      <c r="AP62" s="91"/>
      <c r="AQ62" s="217"/>
      <c r="AR62" s="196"/>
      <c r="AS62" s="265"/>
      <c r="AT62" s="94"/>
      <c r="AU62" s="84"/>
      <c r="AV62" s="136"/>
      <c r="AW62" s="81"/>
      <c r="AX62" s="137"/>
      <c r="AY62" s="138"/>
      <c r="AZ62" s="220">
        <f t="shared" si="0"/>
        <v>79</v>
      </c>
      <c r="BA62" s="220">
        <f t="shared" si="1"/>
        <v>-43908</v>
      </c>
    </row>
    <row r="63" spans="1:53" ht="50.1" customHeight="1" x14ac:dyDescent="0.25">
      <c r="A63" s="17">
        <f t="shared" si="2"/>
        <v>49</v>
      </c>
      <c r="B63" s="228">
        <v>43948</v>
      </c>
      <c r="C63" s="221" t="s">
        <v>473</v>
      </c>
      <c r="D63" s="88" t="s">
        <v>746</v>
      </c>
      <c r="E63" s="128" t="s">
        <v>747</v>
      </c>
      <c r="F63" s="183" t="s">
        <v>435</v>
      </c>
      <c r="G63" s="130">
        <v>55</v>
      </c>
      <c r="H63" s="131" t="s">
        <v>382</v>
      </c>
      <c r="I63" s="132" t="s">
        <v>531</v>
      </c>
      <c r="J63" s="98" t="s">
        <v>379</v>
      </c>
      <c r="K63" s="101" t="s">
        <v>748</v>
      </c>
      <c r="L63" s="124" t="s">
        <v>462</v>
      </c>
      <c r="M63" s="333">
        <v>43998</v>
      </c>
      <c r="N63" s="341">
        <v>44028</v>
      </c>
      <c r="O63" s="190"/>
      <c r="P63" s="191"/>
      <c r="Q63" s="190"/>
      <c r="R63" s="191"/>
      <c r="S63" s="294" t="s">
        <v>472</v>
      </c>
      <c r="T63" s="300" t="s">
        <v>707</v>
      </c>
      <c r="U63" s="306"/>
      <c r="V63" s="308"/>
      <c r="W63" s="248"/>
      <c r="X63" s="345"/>
      <c r="Y63" s="337"/>
      <c r="Z63" s="123"/>
      <c r="AA63" s="83"/>
      <c r="AB63" s="123"/>
      <c r="AC63" s="83"/>
      <c r="AD63" s="123"/>
      <c r="AE63" s="83"/>
      <c r="AF63" s="123"/>
      <c r="AG63" s="243"/>
      <c r="AH63" s="123"/>
      <c r="AI63" s="245"/>
      <c r="AJ63" s="198"/>
      <c r="AK63" s="92"/>
      <c r="AL63" s="126"/>
      <c r="AM63" s="91"/>
      <c r="AN63" s="91"/>
      <c r="AO63" s="197">
        <f t="shared" si="3"/>
        <v>0</v>
      </c>
      <c r="AP63" s="126"/>
      <c r="AQ63" s="217"/>
      <c r="AR63" s="201"/>
      <c r="AS63" s="266"/>
      <c r="AT63" s="94"/>
      <c r="AU63" s="84"/>
      <c r="AV63" s="80"/>
      <c r="AW63" s="81"/>
      <c r="AX63" s="77"/>
      <c r="AY63" s="107"/>
      <c r="AZ63" s="220">
        <f t="shared" si="0"/>
        <v>50</v>
      </c>
      <c r="BA63" s="220">
        <f t="shared" si="1"/>
        <v>-43998</v>
      </c>
    </row>
    <row r="64" spans="1:53" ht="50.1" customHeight="1" x14ac:dyDescent="0.25">
      <c r="A64" s="17">
        <f t="shared" si="2"/>
        <v>50</v>
      </c>
      <c r="B64" s="229">
        <v>43843</v>
      </c>
      <c r="C64" s="222" t="s">
        <v>417</v>
      </c>
      <c r="D64" s="112" t="s">
        <v>614</v>
      </c>
      <c r="E64" s="100" t="s">
        <v>749</v>
      </c>
      <c r="F64" s="95" t="s">
        <v>457</v>
      </c>
      <c r="G64" s="114">
        <v>37</v>
      </c>
      <c r="H64" s="96" t="s">
        <v>383</v>
      </c>
      <c r="I64" s="97" t="s">
        <v>533</v>
      </c>
      <c r="J64" s="189" t="s">
        <v>503</v>
      </c>
      <c r="K64" s="133" t="s">
        <v>604</v>
      </c>
      <c r="L64" s="134" t="s">
        <v>462</v>
      </c>
      <c r="M64" s="334">
        <v>43899</v>
      </c>
      <c r="N64" s="343">
        <v>44015</v>
      </c>
      <c r="O64" s="192"/>
      <c r="P64" s="191"/>
      <c r="Q64" s="192"/>
      <c r="R64" s="191"/>
      <c r="S64" s="295"/>
      <c r="T64" s="301"/>
      <c r="U64" s="306"/>
      <c r="V64" s="308"/>
      <c r="W64" s="249" t="s">
        <v>472</v>
      </c>
      <c r="X64" s="369">
        <v>44015</v>
      </c>
      <c r="Y64" s="337" t="s">
        <v>472</v>
      </c>
      <c r="Z64" s="33"/>
      <c r="AA64" s="83" t="s">
        <v>472</v>
      </c>
      <c r="AB64" s="33"/>
      <c r="AC64" s="83"/>
      <c r="AD64" s="33"/>
      <c r="AE64" s="83"/>
      <c r="AF64" s="33" t="s">
        <v>472</v>
      </c>
      <c r="AG64" s="244" t="s">
        <v>779</v>
      </c>
      <c r="AH64" s="83"/>
      <c r="AI64" s="246"/>
      <c r="AJ64" s="195">
        <v>990.41</v>
      </c>
      <c r="AK64" s="92"/>
      <c r="AL64" s="91"/>
      <c r="AM64" s="92">
        <v>444.08</v>
      </c>
      <c r="AN64" s="351"/>
      <c r="AO64" s="197">
        <f t="shared" si="3"/>
        <v>546.32999999999993</v>
      </c>
      <c r="AP64" s="91"/>
      <c r="AQ64" s="217"/>
      <c r="AR64" s="196"/>
      <c r="AS64" s="265"/>
      <c r="AT64" s="94"/>
      <c r="AU64" s="84"/>
      <c r="AV64" s="136"/>
      <c r="AW64" s="81"/>
      <c r="AX64" s="137"/>
      <c r="AY64" s="138"/>
      <c r="AZ64" s="220">
        <f t="shared" si="0"/>
        <v>56</v>
      </c>
      <c r="BA64" s="220">
        <f t="shared" si="1"/>
        <v>-43899</v>
      </c>
    </row>
    <row r="65" spans="1:53" ht="50.1" customHeight="1" x14ac:dyDescent="0.25">
      <c r="A65" s="17">
        <f t="shared" si="2"/>
        <v>51</v>
      </c>
      <c r="B65" s="228">
        <v>43865</v>
      </c>
      <c r="C65" s="221" t="s">
        <v>462</v>
      </c>
      <c r="D65" s="88" t="s">
        <v>751</v>
      </c>
      <c r="E65" s="128" t="s">
        <v>750</v>
      </c>
      <c r="F65" s="183" t="s">
        <v>391</v>
      </c>
      <c r="G65" s="130">
        <v>77</v>
      </c>
      <c r="H65" s="131" t="s">
        <v>383</v>
      </c>
      <c r="I65" s="132" t="s">
        <v>531</v>
      </c>
      <c r="J65" s="98" t="s">
        <v>379</v>
      </c>
      <c r="K65" s="101" t="s">
        <v>729</v>
      </c>
      <c r="L65" s="124" t="s">
        <v>462</v>
      </c>
      <c r="M65" s="333">
        <v>43906</v>
      </c>
      <c r="N65" s="341">
        <v>44041</v>
      </c>
      <c r="O65" s="190"/>
      <c r="P65" s="191"/>
      <c r="Q65" s="190"/>
      <c r="R65" s="191"/>
      <c r="S65" s="294"/>
      <c r="T65" s="300"/>
      <c r="U65" s="306"/>
      <c r="V65" s="308"/>
      <c r="W65" s="248"/>
      <c r="X65" s="342"/>
      <c r="Y65" s="337"/>
      <c r="Z65" s="123"/>
      <c r="AA65" s="83"/>
      <c r="AB65" s="123"/>
      <c r="AC65" s="83"/>
      <c r="AD65" s="123"/>
      <c r="AE65" s="83"/>
      <c r="AF65" s="123"/>
      <c r="AG65" s="243"/>
      <c r="AH65" s="33"/>
      <c r="AI65" s="245"/>
      <c r="AJ65" s="198"/>
      <c r="AK65" s="92"/>
      <c r="AL65" s="126"/>
      <c r="AM65" s="91"/>
      <c r="AN65" s="91"/>
      <c r="AO65" s="197">
        <f t="shared" si="3"/>
        <v>0</v>
      </c>
      <c r="AP65" s="126"/>
      <c r="AQ65" s="217"/>
      <c r="AR65" s="201"/>
      <c r="AS65" s="266"/>
      <c r="AT65" s="94"/>
      <c r="AU65" s="84"/>
      <c r="AV65" s="80"/>
      <c r="AW65" s="81"/>
      <c r="AX65" s="77"/>
      <c r="AY65" s="107"/>
      <c r="AZ65" s="220">
        <f t="shared" si="0"/>
        <v>41</v>
      </c>
      <c r="BA65" s="220">
        <f t="shared" si="1"/>
        <v>-43906</v>
      </c>
    </row>
    <row r="66" spans="1:53" ht="50.1" customHeight="1" x14ac:dyDescent="0.25">
      <c r="A66" s="17">
        <f t="shared" si="2"/>
        <v>52</v>
      </c>
      <c r="B66" s="229">
        <v>43986</v>
      </c>
      <c r="C66" s="222" t="s">
        <v>473</v>
      </c>
      <c r="D66" s="112" t="s">
        <v>753</v>
      </c>
      <c r="E66" s="100" t="s">
        <v>752</v>
      </c>
      <c r="F66" s="95" t="s">
        <v>460</v>
      </c>
      <c r="G66" s="114">
        <v>28</v>
      </c>
      <c r="H66" s="96" t="s">
        <v>383</v>
      </c>
      <c r="I66" s="97" t="s">
        <v>531</v>
      </c>
      <c r="J66" s="189" t="s">
        <v>379</v>
      </c>
      <c r="K66" s="133" t="s">
        <v>754</v>
      </c>
      <c r="L66" s="134" t="s">
        <v>473</v>
      </c>
      <c r="M66" s="334">
        <v>44019</v>
      </c>
      <c r="N66" s="343"/>
      <c r="O66" s="192"/>
      <c r="P66" s="191"/>
      <c r="Q66" s="192"/>
      <c r="R66" s="191"/>
      <c r="S66" s="295"/>
      <c r="T66" s="301"/>
      <c r="U66" s="306"/>
      <c r="V66" s="308"/>
      <c r="W66" s="249"/>
      <c r="X66" s="344"/>
      <c r="Y66" s="337"/>
      <c r="Z66" s="33"/>
      <c r="AA66" s="83"/>
      <c r="AB66" s="33"/>
      <c r="AC66" s="83"/>
      <c r="AD66" s="33"/>
      <c r="AE66" s="83"/>
      <c r="AF66" s="33"/>
      <c r="AG66" s="244"/>
      <c r="AH66" s="83"/>
      <c r="AI66" s="246"/>
      <c r="AJ66" s="102"/>
      <c r="AK66" s="92"/>
      <c r="AL66" s="91"/>
      <c r="AM66" s="92"/>
      <c r="AN66" s="351"/>
      <c r="AO66" s="197">
        <f t="shared" si="3"/>
        <v>0</v>
      </c>
      <c r="AP66" s="91"/>
      <c r="AQ66" s="217"/>
      <c r="AR66" s="196"/>
      <c r="AS66" s="265"/>
      <c r="AT66" s="94"/>
      <c r="AU66" s="84"/>
      <c r="AV66" s="136"/>
      <c r="AW66" s="81"/>
      <c r="AX66" s="137"/>
      <c r="AY66" s="138"/>
      <c r="AZ66" s="220">
        <f t="shared" si="0"/>
        <v>33</v>
      </c>
      <c r="BA66" s="220">
        <f t="shared" si="1"/>
        <v>-44019</v>
      </c>
    </row>
    <row r="67" spans="1:53" ht="50.1" customHeight="1" x14ac:dyDescent="0.25">
      <c r="A67" s="17">
        <f t="shared" si="2"/>
        <v>53</v>
      </c>
      <c r="B67" s="228">
        <v>43948</v>
      </c>
      <c r="C67" s="221" t="s">
        <v>462</v>
      </c>
      <c r="D67" s="88" t="s">
        <v>755</v>
      </c>
      <c r="E67" s="128" t="s">
        <v>756</v>
      </c>
      <c r="F67" s="183" t="s">
        <v>432</v>
      </c>
      <c r="G67" s="130">
        <v>62</v>
      </c>
      <c r="H67" s="131" t="s">
        <v>382</v>
      </c>
      <c r="I67" s="132" t="s">
        <v>531</v>
      </c>
      <c r="J67" s="98" t="s">
        <v>379</v>
      </c>
      <c r="K67" s="101" t="s">
        <v>768</v>
      </c>
      <c r="L67" s="124" t="s">
        <v>462</v>
      </c>
      <c r="M67" s="333">
        <v>43990</v>
      </c>
      <c r="N67" s="341">
        <v>44021</v>
      </c>
      <c r="O67" s="190"/>
      <c r="P67" s="191" t="s">
        <v>472</v>
      </c>
      <c r="Q67" s="190"/>
      <c r="R67" s="191"/>
      <c r="S67" s="294"/>
      <c r="T67" s="300"/>
      <c r="U67" s="306"/>
      <c r="V67" s="308"/>
      <c r="W67" s="248"/>
      <c r="X67" s="342"/>
      <c r="Y67" s="337"/>
      <c r="Z67" s="123"/>
      <c r="AA67" s="83"/>
      <c r="AB67" s="123"/>
      <c r="AC67" s="83"/>
      <c r="AD67" s="123"/>
      <c r="AE67" s="83"/>
      <c r="AF67" s="123"/>
      <c r="AG67" s="243"/>
      <c r="AH67" s="33"/>
      <c r="AI67" s="245"/>
      <c r="AJ67" s="125"/>
      <c r="AK67" s="92"/>
      <c r="AL67" s="126"/>
      <c r="AM67" s="91"/>
      <c r="AN67" s="91"/>
      <c r="AO67" s="197">
        <f t="shared" si="3"/>
        <v>0</v>
      </c>
      <c r="AP67" s="126"/>
      <c r="AQ67" s="217"/>
      <c r="AR67" s="201"/>
      <c r="AS67" s="266"/>
      <c r="AT67" s="94"/>
      <c r="AU67" s="84"/>
      <c r="AV67" s="80"/>
      <c r="AW67" s="81"/>
      <c r="AX67" s="77"/>
      <c r="AY67" s="107"/>
      <c r="AZ67" s="220">
        <f t="shared" si="0"/>
        <v>42</v>
      </c>
      <c r="BA67" s="220">
        <f t="shared" si="1"/>
        <v>-43990</v>
      </c>
    </row>
    <row r="68" spans="1:53" ht="50.1" customHeight="1" x14ac:dyDescent="0.25">
      <c r="A68" s="17">
        <f t="shared" si="2"/>
        <v>54</v>
      </c>
      <c r="B68" s="229">
        <v>43893</v>
      </c>
      <c r="C68" s="222" t="s">
        <v>473</v>
      </c>
      <c r="D68" s="112" t="s">
        <v>757</v>
      </c>
      <c r="E68" s="100">
        <v>35932</v>
      </c>
      <c r="F68" s="95" t="s">
        <v>410</v>
      </c>
      <c r="G68" s="114">
        <v>54</v>
      </c>
      <c r="H68" s="96" t="s">
        <v>383</v>
      </c>
      <c r="I68" s="97" t="s">
        <v>531</v>
      </c>
      <c r="J68" s="189" t="s">
        <v>379</v>
      </c>
      <c r="K68" s="133" t="s">
        <v>758</v>
      </c>
      <c r="L68" s="134" t="s">
        <v>473</v>
      </c>
      <c r="M68" s="334">
        <v>43924</v>
      </c>
      <c r="N68" s="343"/>
      <c r="O68" s="193"/>
      <c r="P68" s="191"/>
      <c r="Q68" s="193"/>
      <c r="R68" s="191"/>
      <c r="S68" s="294"/>
      <c r="T68" s="300"/>
      <c r="U68" s="306"/>
      <c r="V68" s="308"/>
      <c r="W68" s="249"/>
      <c r="X68" s="344"/>
      <c r="Y68" s="337"/>
      <c r="Z68" s="33"/>
      <c r="AA68" s="83"/>
      <c r="AB68" s="33"/>
      <c r="AC68" s="83"/>
      <c r="AD68" s="33"/>
      <c r="AE68" s="83"/>
      <c r="AF68" s="33"/>
      <c r="AG68" s="244"/>
      <c r="AH68" s="83"/>
      <c r="AI68" s="246"/>
      <c r="AJ68" s="102"/>
      <c r="AK68" s="92"/>
      <c r="AL68" s="91"/>
      <c r="AM68" s="92"/>
      <c r="AN68" s="351"/>
      <c r="AO68" s="197">
        <f t="shared" si="3"/>
        <v>0</v>
      </c>
      <c r="AP68" s="91"/>
      <c r="AQ68" s="217"/>
      <c r="AR68" s="196"/>
      <c r="AS68" s="265"/>
      <c r="AT68" s="94"/>
      <c r="AU68" s="84"/>
      <c r="AV68" s="136"/>
      <c r="AW68" s="81"/>
      <c r="AX68" s="137"/>
      <c r="AY68" s="138"/>
      <c r="AZ68" s="220">
        <f t="shared" si="0"/>
        <v>31</v>
      </c>
      <c r="BA68" s="220">
        <f t="shared" si="1"/>
        <v>-43924</v>
      </c>
    </row>
    <row r="69" spans="1:53" ht="50.1" customHeight="1" x14ac:dyDescent="0.25">
      <c r="A69" s="17">
        <f t="shared" si="2"/>
        <v>55</v>
      </c>
      <c r="B69" s="228">
        <v>43952</v>
      </c>
      <c r="C69" s="221" t="s">
        <v>462</v>
      </c>
      <c r="D69" s="88" t="s">
        <v>648</v>
      </c>
      <c r="E69" s="128" t="s">
        <v>759</v>
      </c>
      <c r="F69" s="183" t="s">
        <v>435</v>
      </c>
      <c r="G69" s="130">
        <v>47</v>
      </c>
      <c r="H69" s="131" t="s">
        <v>382</v>
      </c>
      <c r="I69" s="132" t="s">
        <v>525</v>
      </c>
      <c r="J69" s="98" t="s">
        <v>379</v>
      </c>
      <c r="K69" s="101" t="s">
        <v>760</v>
      </c>
      <c r="L69" s="124" t="s">
        <v>462</v>
      </c>
      <c r="M69" s="333">
        <v>44005</v>
      </c>
      <c r="N69" s="341">
        <v>44019</v>
      </c>
      <c r="O69" s="190"/>
      <c r="P69" s="191"/>
      <c r="Q69" s="190"/>
      <c r="R69" s="191"/>
      <c r="S69" s="294"/>
      <c r="T69" s="300"/>
      <c r="U69" s="306"/>
      <c r="V69" s="308"/>
      <c r="W69" s="248"/>
      <c r="X69" s="342"/>
      <c r="Y69" s="337"/>
      <c r="Z69" s="123"/>
      <c r="AA69" s="83"/>
      <c r="AB69" s="123"/>
      <c r="AC69" s="83"/>
      <c r="AD69" s="123"/>
      <c r="AE69" s="83"/>
      <c r="AF69" s="123"/>
      <c r="AG69" s="243"/>
      <c r="AH69" s="33"/>
      <c r="AI69" s="245"/>
      <c r="AJ69" s="125"/>
      <c r="AK69" s="92"/>
      <c r="AL69" s="126"/>
      <c r="AM69" s="91"/>
      <c r="AN69" s="91"/>
      <c r="AO69" s="197">
        <f t="shared" si="3"/>
        <v>0</v>
      </c>
      <c r="AP69" s="126"/>
      <c r="AQ69" s="217"/>
      <c r="AR69" s="201"/>
      <c r="AS69" s="266"/>
      <c r="AT69" s="94"/>
      <c r="AU69" s="84"/>
      <c r="AV69" s="80"/>
      <c r="AW69" s="81"/>
      <c r="AX69" s="77"/>
      <c r="AY69" s="107"/>
      <c r="AZ69" s="220">
        <f t="shared" si="0"/>
        <v>53</v>
      </c>
      <c r="BA69" s="220">
        <f t="shared" si="1"/>
        <v>-44005</v>
      </c>
    </row>
    <row r="70" spans="1:53" ht="50.1" customHeight="1" x14ac:dyDescent="0.25">
      <c r="A70" s="17">
        <f t="shared" si="2"/>
        <v>56</v>
      </c>
      <c r="B70" s="229">
        <v>43962</v>
      </c>
      <c r="C70" s="222" t="s">
        <v>473</v>
      </c>
      <c r="D70" s="112" t="s">
        <v>761</v>
      </c>
      <c r="E70" s="100" t="s">
        <v>762</v>
      </c>
      <c r="F70" s="95" t="s">
        <v>414</v>
      </c>
      <c r="G70" s="114">
        <v>34</v>
      </c>
      <c r="H70" s="96" t="s">
        <v>382</v>
      </c>
      <c r="I70" s="97" t="s">
        <v>531</v>
      </c>
      <c r="J70" s="189" t="s">
        <v>379</v>
      </c>
      <c r="K70" s="133" t="s">
        <v>763</v>
      </c>
      <c r="L70" s="134" t="s">
        <v>473</v>
      </c>
      <c r="M70" s="334">
        <v>44006</v>
      </c>
      <c r="N70" s="343">
        <v>44041</v>
      </c>
      <c r="O70" s="192"/>
      <c r="P70" s="191"/>
      <c r="Q70" s="192"/>
      <c r="R70" s="191"/>
      <c r="S70" s="295"/>
      <c r="T70" s="301"/>
      <c r="U70" s="306"/>
      <c r="V70" s="308"/>
      <c r="W70" s="249"/>
      <c r="X70" s="344"/>
      <c r="Y70" s="337"/>
      <c r="Z70" s="33"/>
      <c r="AA70" s="83"/>
      <c r="AB70" s="33"/>
      <c r="AC70" s="83"/>
      <c r="AD70" s="33"/>
      <c r="AE70" s="83"/>
      <c r="AF70" s="33"/>
      <c r="AG70" s="244"/>
      <c r="AH70" s="83"/>
      <c r="AI70" s="246"/>
      <c r="AJ70" s="102"/>
      <c r="AK70" s="92"/>
      <c r="AL70" s="91"/>
      <c r="AM70" s="92"/>
      <c r="AN70" s="351"/>
      <c r="AO70" s="197">
        <f t="shared" si="3"/>
        <v>0</v>
      </c>
      <c r="AP70" s="91"/>
      <c r="AQ70" s="217"/>
      <c r="AR70" s="196"/>
      <c r="AS70" s="265"/>
      <c r="AT70" s="94"/>
      <c r="AU70" s="84"/>
      <c r="AV70" s="136"/>
      <c r="AW70" s="81"/>
      <c r="AX70" s="137"/>
      <c r="AY70" s="138"/>
      <c r="AZ70" s="220">
        <f t="shared" si="0"/>
        <v>44</v>
      </c>
      <c r="BA70" s="220">
        <f t="shared" si="1"/>
        <v>-44006</v>
      </c>
    </row>
    <row r="71" spans="1:53" ht="50.1" customHeight="1" x14ac:dyDescent="0.25">
      <c r="A71" s="17">
        <f t="shared" si="2"/>
        <v>57</v>
      </c>
      <c r="B71" s="228">
        <v>43977</v>
      </c>
      <c r="C71" s="221" t="s">
        <v>473</v>
      </c>
      <c r="D71" s="88" t="s">
        <v>764</v>
      </c>
      <c r="E71" s="128" t="s">
        <v>765</v>
      </c>
      <c r="F71" s="183" t="s">
        <v>451</v>
      </c>
      <c r="G71" s="130">
        <v>50</v>
      </c>
      <c r="H71" s="131" t="s">
        <v>382</v>
      </c>
      <c r="I71" s="132" t="s">
        <v>531</v>
      </c>
      <c r="J71" s="98" t="s">
        <v>379</v>
      </c>
      <c r="K71" s="101" t="s">
        <v>766</v>
      </c>
      <c r="L71" s="124" t="s">
        <v>462</v>
      </c>
      <c r="M71" s="333">
        <v>43992</v>
      </c>
      <c r="N71" s="341"/>
      <c r="O71" s="190"/>
      <c r="P71" s="191"/>
      <c r="Q71" s="190"/>
      <c r="R71" s="191"/>
      <c r="S71" s="294"/>
      <c r="T71" s="300"/>
      <c r="U71" s="306"/>
      <c r="V71" s="308"/>
      <c r="W71" s="248"/>
      <c r="X71" s="342"/>
      <c r="Y71" s="337"/>
      <c r="Z71" s="123"/>
      <c r="AA71" s="83"/>
      <c r="AB71" s="123"/>
      <c r="AC71" s="83"/>
      <c r="AD71" s="123"/>
      <c r="AE71" s="83"/>
      <c r="AF71" s="123"/>
      <c r="AG71" s="243"/>
      <c r="AH71" s="33"/>
      <c r="AI71" s="245"/>
      <c r="AJ71" s="125"/>
      <c r="AK71" s="92"/>
      <c r="AL71" s="126"/>
      <c r="AM71" s="91"/>
      <c r="AN71" s="91"/>
      <c r="AO71" s="197">
        <f t="shared" si="3"/>
        <v>0</v>
      </c>
      <c r="AP71" s="126"/>
      <c r="AQ71" s="217"/>
      <c r="AR71" s="201"/>
      <c r="AS71" s="266"/>
      <c r="AT71" s="94"/>
      <c r="AU71" s="84"/>
      <c r="AV71" s="80"/>
      <c r="AW71" s="81"/>
      <c r="AX71" s="77"/>
      <c r="AY71" s="107"/>
      <c r="AZ71" s="220">
        <f t="shared" si="0"/>
        <v>15</v>
      </c>
      <c r="BA71" s="220">
        <f t="shared" si="1"/>
        <v>-43992</v>
      </c>
    </row>
    <row r="72" spans="1:53" ht="50.1" customHeight="1" x14ac:dyDescent="0.25">
      <c r="A72" s="17">
        <f t="shared" si="2"/>
        <v>58</v>
      </c>
      <c r="B72" s="229">
        <v>43980</v>
      </c>
      <c r="C72" s="222" t="s">
        <v>462</v>
      </c>
      <c r="D72" s="112" t="s">
        <v>767</v>
      </c>
      <c r="E72" s="100" t="s">
        <v>769</v>
      </c>
      <c r="F72" s="95" t="s">
        <v>451</v>
      </c>
      <c r="G72" s="114">
        <v>53</v>
      </c>
      <c r="H72" s="96" t="s">
        <v>382</v>
      </c>
      <c r="I72" s="97" t="s">
        <v>531</v>
      </c>
      <c r="J72" s="189" t="s">
        <v>503</v>
      </c>
      <c r="K72" s="133" t="s">
        <v>770</v>
      </c>
      <c r="L72" s="134" t="s">
        <v>462</v>
      </c>
      <c r="M72" s="334">
        <v>44027</v>
      </c>
      <c r="N72" s="343"/>
      <c r="O72" s="192"/>
      <c r="P72" s="191"/>
      <c r="Q72" s="192"/>
      <c r="R72" s="191"/>
      <c r="S72" s="295"/>
      <c r="T72" s="301"/>
      <c r="U72" s="306"/>
      <c r="V72" s="308"/>
      <c r="W72" s="249"/>
      <c r="X72" s="344"/>
      <c r="Y72" s="337"/>
      <c r="Z72" s="33"/>
      <c r="AA72" s="83"/>
      <c r="AB72" s="33"/>
      <c r="AC72" s="83"/>
      <c r="AD72" s="33"/>
      <c r="AE72" s="83"/>
      <c r="AF72" s="33"/>
      <c r="AG72" s="244"/>
      <c r="AH72" s="83"/>
      <c r="AI72" s="246"/>
      <c r="AJ72" s="102"/>
      <c r="AK72" s="92"/>
      <c r="AL72" s="91"/>
      <c r="AM72" s="92"/>
      <c r="AN72" s="351"/>
      <c r="AO72" s="197">
        <f t="shared" si="3"/>
        <v>0</v>
      </c>
      <c r="AP72" s="91"/>
      <c r="AQ72" s="217"/>
      <c r="AR72" s="196"/>
      <c r="AS72" s="265"/>
      <c r="AT72" s="94"/>
      <c r="AU72" s="84"/>
      <c r="AV72" s="136"/>
      <c r="AW72" s="81"/>
      <c r="AX72" s="137"/>
      <c r="AY72" s="138"/>
      <c r="AZ72" s="220">
        <f t="shared" si="0"/>
        <v>47</v>
      </c>
      <c r="BA72" s="220">
        <f t="shared" si="1"/>
        <v>-44027</v>
      </c>
    </row>
    <row r="73" spans="1:53" ht="50.1" customHeight="1" x14ac:dyDescent="0.25">
      <c r="A73" s="17">
        <f t="shared" si="2"/>
        <v>59</v>
      </c>
      <c r="B73" s="228">
        <v>43991</v>
      </c>
      <c r="C73" s="221" t="s">
        <v>473</v>
      </c>
      <c r="D73" s="88" t="s">
        <v>772</v>
      </c>
      <c r="E73" s="128" t="s">
        <v>771</v>
      </c>
      <c r="F73" s="183" t="s">
        <v>387</v>
      </c>
      <c r="G73" s="130">
        <v>50</v>
      </c>
      <c r="H73" s="131" t="s">
        <v>383</v>
      </c>
      <c r="I73" s="132" t="s">
        <v>503</v>
      </c>
      <c r="J73" s="98" t="s">
        <v>503</v>
      </c>
      <c r="K73" s="101" t="s">
        <v>604</v>
      </c>
      <c r="L73" s="387"/>
      <c r="M73" s="388"/>
      <c r="N73" s="341"/>
      <c r="O73" s="190"/>
      <c r="P73" s="191"/>
      <c r="Q73" s="190"/>
      <c r="R73" s="191"/>
      <c r="S73" s="294"/>
      <c r="T73" s="300"/>
      <c r="U73" s="306"/>
      <c r="V73" s="308"/>
      <c r="W73" s="248"/>
      <c r="X73" s="342"/>
      <c r="Y73" s="337"/>
      <c r="Z73" s="123"/>
      <c r="AA73" s="83"/>
      <c r="AB73" s="123"/>
      <c r="AC73" s="83"/>
      <c r="AD73" s="123"/>
      <c r="AE73" s="83"/>
      <c r="AF73" s="123"/>
      <c r="AG73" s="243"/>
      <c r="AH73" s="33"/>
      <c r="AI73" s="245"/>
      <c r="AJ73" s="125"/>
      <c r="AK73" s="92"/>
      <c r="AL73" s="126"/>
      <c r="AM73" s="91"/>
      <c r="AN73" s="91"/>
      <c r="AO73" s="197">
        <f t="shared" si="3"/>
        <v>0</v>
      </c>
      <c r="AP73" s="126"/>
      <c r="AQ73" s="217"/>
      <c r="AR73" s="201"/>
      <c r="AS73" s="266"/>
      <c r="AT73" s="94"/>
      <c r="AU73" s="84"/>
      <c r="AV73" s="80"/>
      <c r="AW73" s="81"/>
      <c r="AX73" s="77"/>
      <c r="AY73" s="107" t="s">
        <v>773</v>
      </c>
      <c r="AZ73" s="220">
        <f t="shared" si="0"/>
        <v>-43991</v>
      </c>
      <c r="BA73" s="220">
        <f t="shared" si="1"/>
        <v>0</v>
      </c>
    </row>
    <row r="74" spans="1:53" ht="50.1" customHeight="1" x14ac:dyDescent="0.25">
      <c r="A74" s="17">
        <f t="shared" si="2"/>
        <v>60</v>
      </c>
      <c r="B74" s="229">
        <v>43992</v>
      </c>
      <c r="C74" s="222" t="s">
        <v>473</v>
      </c>
      <c r="D74" s="112" t="s">
        <v>775</v>
      </c>
      <c r="E74" s="100" t="s">
        <v>774</v>
      </c>
      <c r="F74" s="95" t="s">
        <v>451</v>
      </c>
      <c r="G74" s="114">
        <v>37</v>
      </c>
      <c r="H74" s="96" t="s">
        <v>382</v>
      </c>
      <c r="I74" s="97" t="s">
        <v>531</v>
      </c>
      <c r="J74" s="189" t="s">
        <v>379</v>
      </c>
      <c r="K74" s="133" t="s">
        <v>776</v>
      </c>
      <c r="L74" s="134" t="s">
        <v>462</v>
      </c>
      <c r="M74" s="334">
        <v>44011</v>
      </c>
      <c r="N74" s="343"/>
      <c r="O74" s="192"/>
      <c r="P74" s="191"/>
      <c r="Q74" s="192"/>
      <c r="R74" s="191"/>
      <c r="S74" s="295"/>
      <c r="T74" s="301"/>
      <c r="U74" s="306"/>
      <c r="V74" s="308"/>
      <c r="W74" s="249"/>
      <c r="X74" s="344"/>
      <c r="Y74" s="337"/>
      <c r="Z74" s="33"/>
      <c r="AA74" s="83"/>
      <c r="AB74" s="33"/>
      <c r="AC74" s="83"/>
      <c r="AD74" s="33"/>
      <c r="AE74" s="83"/>
      <c r="AF74" s="33"/>
      <c r="AG74" s="244"/>
      <c r="AH74" s="83"/>
      <c r="AI74" s="246"/>
      <c r="AJ74" s="102"/>
      <c r="AK74" s="92"/>
      <c r="AL74" s="91"/>
      <c r="AM74" s="92"/>
      <c r="AN74" s="351"/>
      <c r="AO74" s="197">
        <f t="shared" si="3"/>
        <v>0</v>
      </c>
      <c r="AP74" s="91"/>
      <c r="AQ74" s="217"/>
      <c r="AR74" s="196"/>
      <c r="AS74" s="265"/>
      <c r="AT74" s="94"/>
      <c r="AU74" s="84"/>
      <c r="AV74" s="136"/>
      <c r="AW74" s="81"/>
      <c r="AX74" s="137"/>
      <c r="AY74" s="138"/>
      <c r="AZ74" s="220">
        <f t="shared" si="0"/>
        <v>19</v>
      </c>
      <c r="BA74" s="220">
        <f t="shared" si="1"/>
        <v>-44011</v>
      </c>
    </row>
    <row r="75" spans="1:53" ht="50.1" customHeight="1" x14ac:dyDescent="0.25">
      <c r="A75" s="17">
        <f t="shared" si="2"/>
        <v>61</v>
      </c>
      <c r="B75" s="228">
        <v>43893</v>
      </c>
      <c r="C75" s="221" t="s">
        <v>473</v>
      </c>
      <c r="D75" s="88" t="s">
        <v>777</v>
      </c>
      <c r="E75" s="128" t="s">
        <v>780</v>
      </c>
      <c r="F75" s="183" t="s">
        <v>427</v>
      </c>
      <c r="G75" s="130">
        <v>11</v>
      </c>
      <c r="H75" s="131" t="s">
        <v>382</v>
      </c>
      <c r="I75" s="132" t="s">
        <v>531</v>
      </c>
      <c r="J75" s="98" t="s">
        <v>503</v>
      </c>
      <c r="K75" s="101" t="s">
        <v>778</v>
      </c>
      <c r="L75" s="124" t="s">
        <v>473</v>
      </c>
      <c r="M75" s="333">
        <v>43929</v>
      </c>
      <c r="N75" s="341"/>
      <c r="O75" s="190"/>
      <c r="P75" s="191"/>
      <c r="Q75" s="190"/>
      <c r="R75" s="191"/>
      <c r="S75" s="294"/>
      <c r="T75" s="300"/>
      <c r="U75" s="306"/>
      <c r="V75" s="308"/>
      <c r="W75" s="248" t="s">
        <v>472</v>
      </c>
      <c r="X75" s="370">
        <v>44017</v>
      </c>
      <c r="Y75" s="337"/>
      <c r="Z75" s="123" t="s">
        <v>472</v>
      </c>
      <c r="AA75" s="83"/>
      <c r="AB75" s="123"/>
      <c r="AC75" s="83"/>
      <c r="AD75" s="123"/>
      <c r="AE75" s="83"/>
      <c r="AF75" s="123"/>
      <c r="AG75" s="243"/>
      <c r="AH75" s="33"/>
      <c r="AI75" s="245"/>
      <c r="AJ75" s="125">
        <v>316.94</v>
      </c>
      <c r="AK75" s="92"/>
      <c r="AL75" s="126"/>
      <c r="AM75" s="91">
        <v>47.84</v>
      </c>
      <c r="AN75" s="91"/>
      <c r="AO75" s="197">
        <f t="shared" si="3"/>
        <v>269.10000000000002</v>
      </c>
      <c r="AP75" s="126"/>
      <c r="AQ75" s="217"/>
      <c r="AR75" s="201" t="s">
        <v>475</v>
      </c>
      <c r="AS75" s="266"/>
      <c r="AT75" s="94"/>
      <c r="AU75" s="84"/>
      <c r="AV75" s="80"/>
      <c r="AW75" s="81"/>
      <c r="AX75" s="77"/>
      <c r="AY75" s="107"/>
      <c r="AZ75" s="220">
        <f t="shared" si="0"/>
        <v>36</v>
      </c>
      <c r="BA75" s="220">
        <f t="shared" si="1"/>
        <v>-43929</v>
      </c>
    </row>
    <row r="76" spans="1:53" ht="50.1" customHeight="1" x14ac:dyDescent="0.25">
      <c r="A76" s="17">
        <f t="shared" si="2"/>
        <v>62</v>
      </c>
      <c r="B76" s="229">
        <v>43569</v>
      </c>
      <c r="C76" s="222" t="s">
        <v>473</v>
      </c>
      <c r="D76" s="112" t="s">
        <v>782</v>
      </c>
      <c r="E76" s="100">
        <v>35207</v>
      </c>
      <c r="F76" s="95" t="s">
        <v>419</v>
      </c>
      <c r="G76" s="114">
        <v>35</v>
      </c>
      <c r="H76" s="96" t="s">
        <v>382</v>
      </c>
      <c r="I76" s="97" t="s">
        <v>531</v>
      </c>
      <c r="J76" s="189" t="s">
        <v>503</v>
      </c>
      <c r="K76" s="133" t="s">
        <v>781</v>
      </c>
      <c r="L76" s="134" t="s">
        <v>473</v>
      </c>
      <c r="M76" s="334">
        <v>43569</v>
      </c>
      <c r="N76" s="343">
        <v>44014</v>
      </c>
      <c r="O76" s="192"/>
      <c r="P76" s="191"/>
      <c r="Q76" s="192"/>
      <c r="R76" s="191"/>
      <c r="S76" s="295" t="s">
        <v>472</v>
      </c>
      <c r="T76" s="301" t="s">
        <v>783</v>
      </c>
      <c r="U76" s="306"/>
      <c r="V76" s="308"/>
      <c r="W76" s="249"/>
      <c r="X76" s="344"/>
      <c r="Y76" s="337"/>
      <c r="Z76" s="33"/>
      <c r="AA76" s="83"/>
      <c r="AB76" s="33"/>
      <c r="AC76" s="83"/>
      <c r="AD76" s="33"/>
      <c r="AE76" s="83"/>
      <c r="AF76" s="33"/>
      <c r="AG76" s="244"/>
      <c r="AH76" s="83"/>
      <c r="AI76" s="246"/>
      <c r="AJ76" s="102"/>
      <c r="AK76" s="92"/>
      <c r="AL76" s="91"/>
      <c r="AM76" s="92"/>
      <c r="AN76" s="351"/>
      <c r="AO76" s="197">
        <f t="shared" si="3"/>
        <v>0</v>
      </c>
      <c r="AP76" s="91"/>
      <c r="AQ76" s="217"/>
      <c r="AR76" s="196"/>
      <c r="AS76" s="265"/>
      <c r="AT76" s="94"/>
      <c r="AU76" s="84"/>
      <c r="AV76" s="136"/>
      <c r="AW76" s="81"/>
      <c r="AX76" s="137"/>
      <c r="AY76" s="138"/>
      <c r="AZ76" s="220">
        <f t="shared" si="0"/>
        <v>0</v>
      </c>
      <c r="BA76" s="220">
        <f t="shared" si="1"/>
        <v>-43569</v>
      </c>
    </row>
    <row r="77" spans="1:53" ht="50.1" customHeight="1" x14ac:dyDescent="0.25">
      <c r="A77" s="17">
        <f t="shared" si="2"/>
        <v>63</v>
      </c>
      <c r="B77" s="228">
        <v>43595</v>
      </c>
      <c r="C77" s="221" t="s">
        <v>473</v>
      </c>
      <c r="D77" s="88" t="s">
        <v>714</v>
      </c>
      <c r="E77" s="100">
        <v>35203</v>
      </c>
      <c r="F77" s="95" t="s">
        <v>419</v>
      </c>
      <c r="G77" s="114">
        <v>42</v>
      </c>
      <c r="H77" s="96" t="s">
        <v>382</v>
      </c>
      <c r="I77" s="97" t="s">
        <v>531</v>
      </c>
      <c r="J77" s="98" t="s">
        <v>503</v>
      </c>
      <c r="K77" s="101" t="s">
        <v>604</v>
      </c>
      <c r="L77" s="124" t="s">
        <v>473</v>
      </c>
      <c r="M77" s="333">
        <v>43595</v>
      </c>
      <c r="N77" s="341">
        <v>44018</v>
      </c>
      <c r="O77" s="190"/>
      <c r="P77" s="191"/>
      <c r="Q77" s="190"/>
      <c r="R77" s="191"/>
      <c r="S77" s="294" t="s">
        <v>472</v>
      </c>
      <c r="T77" s="300" t="s">
        <v>783</v>
      </c>
      <c r="U77" s="306"/>
      <c r="V77" s="308"/>
      <c r="W77" s="248"/>
      <c r="X77" s="342"/>
      <c r="Y77" s="337"/>
      <c r="Z77" s="123"/>
      <c r="AA77" s="83"/>
      <c r="AB77" s="123"/>
      <c r="AC77" s="83"/>
      <c r="AD77" s="123"/>
      <c r="AE77" s="83"/>
      <c r="AF77" s="123"/>
      <c r="AG77" s="243"/>
      <c r="AH77" s="33"/>
      <c r="AI77" s="245"/>
      <c r="AJ77" s="125"/>
      <c r="AK77" s="92"/>
      <c r="AL77" s="126"/>
      <c r="AM77" s="91"/>
      <c r="AN77" s="91"/>
      <c r="AO77" s="197">
        <f t="shared" si="3"/>
        <v>0</v>
      </c>
      <c r="AP77" s="126"/>
      <c r="AQ77" s="217"/>
      <c r="AR77" s="201"/>
      <c r="AS77" s="266"/>
      <c r="AT77" s="94"/>
      <c r="AU77" s="84"/>
      <c r="AV77" s="80"/>
      <c r="AW77" s="81"/>
      <c r="AX77" s="77"/>
      <c r="AY77" s="107"/>
      <c r="AZ77" s="220">
        <f t="shared" si="0"/>
        <v>0</v>
      </c>
      <c r="BA77" s="220">
        <f t="shared" si="1"/>
        <v>-43595</v>
      </c>
    </row>
    <row r="78" spans="1:53" ht="50.1" customHeight="1" x14ac:dyDescent="0.25">
      <c r="A78" s="17">
        <f t="shared" si="2"/>
        <v>64</v>
      </c>
      <c r="B78" s="229"/>
      <c r="C78" s="222"/>
      <c r="D78" s="112"/>
      <c r="E78" s="128"/>
      <c r="F78" s="183"/>
      <c r="G78" s="130"/>
      <c r="H78" s="131"/>
      <c r="I78" s="132"/>
      <c r="J78" s="189"/>
      <c r="K78" s="133"/>
      <c r="L78" s="134"/>
      <c r="M78" s="334"/>
      <c r="N78" s="343"/>
      <c r="O78" s="192"/>
      <c r="P78" s="191"/>
      <c r="Q78" s="192"/>
      <c r="R78" s="191"/>
      <c r="S78" s="295"/>
      <c r="T78" s="301"/>
      <c r="U78" s="306"/>
      <c r="V78" s="308"/>
      <c r="W78" s="249"/>
      <c r="X78" s="344"/>
      <c r="Y78" s="337"/>
      <c r="Z78" s="33"/>
      <c r="AA78" s="83"/>
      <c r="AB78" s="33"/>
      <c r="AC78" s="83"/>
      <c r="AD78" s="33"/>
      <c r="AE78" s="83"/>
      <c r="AF78" s="33"/>
      <c r="AG78" s="244"/>
      <c r="AH78" s="83"/>
      <c r="AI78" s="246"/>
      <c r="AJ78" s="102"/>
      <c r="AK78" s="92"/>
      <c r="AL78" s="91"/>
      <c r="AM78" s="92"/>
      <c r="AN78" s="351"/>
      <c r="AO78" s="197">
        <f t="shared" si="3"/>
        <v>0</v>
      </c>
      <c r="AP78" s="91"/>
      <c r="AQ78" s="217"/>
      <c r="AR78" s="196"/>
      <c r="AS78" s="265"/>
      <c r="AT78" s="94"/>
      <c r="AU78" s="84"/>
      <c r="AV78" s="136"/>
      <c r="AW78" s="81"/>
      <c r="AX78" s="137"/>
      <c r="AY78" s="138"/>
      <c r="AZ78" s="220">
        <f t="shared" si="0"/>
        <v>0</v>
      </c>
      <c r="BA78" s="220">
        <f t="shared" si="1"/>
        <v>0</v>
      </c>
    </row>
    <row r="79" spans="1:53" ht="50.1" customHeight="1" x14ac:dyDescent="0.25">
      <c r="A79" s="17">
        <f t="shared" si="2"/>
        <v>65</v>
      </c>
      <c r="B79" s="228"/>
      <c r="C79" s="221"/>
      <c r="D79" s="88"/>
      <c r="E79" s="100"/>
      <c r="F79" s="95"/>
      <c r="G79" s="114"/>
      <c r="H79" s="96"/>
      <c r="I79" s="97"/>
      <c r="J79" s="98"/>
      <c r="K79" s="101"/>
      <c r="L79" s="124"/>
      <c r="M79" s="333"/>
      <c r="N79" s="341"/>
      <c r="O79" s="190"/>
      <c r="P79" s="191"/>
      <c r="Q79" s="190"/>
      <c r="R79" s="191"/>
      <c r="S79" s="294"/>
      <c r="T79" s="300"/>
      <c r="U79" s="306"/>
      <c r="V79" s="308"/>
      <c r="W79" s="248"/>
      <c r="X79" s="342"/>
      <c r="Y79" s="337"/>
      <c r="Z79" s="123"/>
      <c r="AA79" s="83"/>
      <c r="AB79" s="123"/>
      <c r="AC79" s="83"/>
      <c r="AD79" s="123"/>
      <c r="AE79" s="83"/>
      <c r="AF79" s="123"/>
      <c r="AG79" s="243"/>
      <c r="AH79" s="33"/>
      <c r="AI79" s="245"/>
      <c r="AJ79" s="125"/>
      <c r="AK79" s="92"/>
      <c r="AL79" s="126"/>
      <c r="AM79" s="91"/>
      <c r="AN79" s="91"/>
      <c r="AO79" s="197">
        <f t="shared" si="3"/>
        <v>0</v>
      </c>
      <c r="AP79" s="126"/>
      <c r="AQ79" s="217"/>
      <c r="AR79" s="201"/>
      <c r="AS79" s="266"/>
      <c r="AT79" s="94"/>
      <c r="AU79" s="84"/>
      <c r="AV79" s="80"/>
      <c r="AW79" s="81"/>
      <c r="AX79" s="77"/>
      <c r="AY79" s="107"/>
      <c r="AZ79" s="220">
        <f t="shared" ref="AZ79:AZ142" si="4">M79-B79</f>
        <v>0</v>
      </c>
      <c r="BA79" s="220">
        <f t="shared" ref="BA79:BA142" si="5">AU79-M79</f>
        <v>0</v>
      </c>
    </row>
    <row r="80" spans="1:53" ht="50.1" customHeight="1" x14ac:dyDescent="0.25">
      <c r="A80" s="17">
        <f t="shared" ref="A80:A143" si="6">ROW(A66)</f>
        <v>66</v>
      </c>
      <c r="B80" s="229"/>
      <c r="C80" s="222"/>
      <c r="D80" s="112"/>
      <c r="E80" s="128"/>
      <c r="F80" s="183"/>
      <c r="G80" s="130"/>
      <c r="H80" s="131"/>
      <c r="I80" s="132"/>
      <c r="J80" s="189"/>
      <c r="K80" s="133"/>
      <c r="L80" s="134"/>
      <c r="M80" s="334"/>
      <c r="N80" s="343"/>
      <c r="O80" s="192"/>
      <c r="P80" s="191"/>
      <c r="Q80" s="192"/>
      <c r="R80" s="191"/>
      <c r="S80" s="295"/>
      <c r="T80" s="301"/>
      <c r="U80" s="306"/>
      <c r="V80" s="308"/>
      <c r="W80" s="249"/>
      <c r="X80" s="344"/>
      <c r="Y80" s="337"/>
      <c r="Z80" s="33"/>
      <c r="AA80" s="83"/>
      <c r="AB80" s="33"/>
      <c r="AC80" s="83"/>
      <c r="AD80" s="33"/>
      <c r="AE80" s="83"/>
      <c r="AF80" s="33"/>
      <c r="AG80" s="244"/>
      <c r="AH80" s="83"/>
      <c r="AI80" s="246"/>
      <c r="AJ80" s="195"/>
      <c r="AK80" s="92"/>
      <c r="AL80" s="91"/>
      <c r="AM80" s="92"/>
      <c r="AN80" s="351"/>
      <c r="AO80" s="197">
        <f t="shared" ref="AO80:AO143" si="7">AJ80-AK80-AL80-AM80-AN80</f>
        <v>0</v>
      </c>
      <c r="AP80" s="91"/>
      <c r="AQ80" s="217"/>
      <c r="AR80" s="196"/>
      <c r="AS80" s="265"/>
      <c r="AT80" s="94"/>
      <c r="AU80" s="84"/>
      <c r="AV80" s="136"/>
      <c r="AW80" s="81"/>
      <c r="AX80" s="137"/>
      <c r="AY80" s="138"/>
      <c r="AZ80" s="220">
        <f t="shared" si="4"/>
        <v>0</v>
      </c>
      <c r="BA80" s="220">
        <f t="shared" si="5"/>
        <v>0</v>
      </c>
    </row>
    <row r="81" spans="1:53" ht="50.1" customHeight="1" x14ac:dyDescent="0.25">
      <c r="A81" s="17">
        <f t="shared" si="6"/>
        <v>67</v>
      </c>
      <c r="B81" s="228"/>
      <c r="C81" s="221"/>
      <c r="D81" s="88"/>
      <c r="E81" s="100"/>
      <c r="F81" s="95"/>
      <c r="G81" s="114"/>
      <c r="H81" s="96"/>
      <c r="I81" s="97"/>
      <c r="J81" s="98"/>
      <c r="K81" s="101"/>
      <c r="L81" s="124"/>
      <c r="M81" s="333"/>
      <c r="N81" s="341"/>
      <c r="O81" s="190"/>
      <c r="P81" s="191"/>
      <c r="Q81" s="190"/>
      <c r="R81" s="191"/>
      <c r="S81" s="294"/>
      <c r="T81" s="300"/>
      <c r="U81" s="306"/>
      <c r="V81" s="308"/>
      <c r="W81" s="248"/>
      <c r="X81" s="345"/>
      <c r="Y81" s="337"/>
      <c r="Z81" s="123"/>
      <c r="AA81" s="83"/>
      <c r="AB81" s="123"/>
      <c r="AC81" s="83"/>
      <c r="AD81" s="123"/>
      <c r="AE81" s="83"/>
      <c r="AF81" s="123"/>
      <c r="AG81" s="243"/>
      <c r="AH81" s="123"/>
      <c r="AI81" s="245"/>
      <c r="AJ81" s="125"/>
      <c r="AK81" s="92"/>
      <c r="AL81" s="126"/>
      <c r="AM81" s="91"/>
      <c r="AN81" s="91"/>
      <c r="AO81" s="197">
        <f t="shared" si="7"/>
        <v>0</v>
      </c>
      <c r="AP81" s="126"/>
      <c r="AQ81" s="217"/>
      <c r="AR81" s="201"/>
      <c r="AS81" s="266"/>
      <c r="AT81" s="94"/>
      <c r="AU81" s="84"/>
      <c r="AV81" s="80"/>
      <c r="AW81" s="81"/>
      <c r="AX81" s="77"/>
      <c r="AY81" s="107"/>
      <c r="AZ81" s="220">
        <f t="shared" si="4"/>
        <v>0</v>
      </c>
      <c r="BA81" s="220">
        <f t="shared" si="5"/>
        <v>0</v>
      </c>
    </row>
    <row r="82" spans="1:53" ht="50.1" customHeight="1" x14ac:dyDescent="0.25">
      <c r="A82" s="17">
        <f t="shared" si="6"/>
        <v>68</v>
      </c>
      <c r="B82" s="229"/>
      <c r="C82" s="222"/>
      <c r="D82" s="112"/>
      <c r="E82" s="128"/>
      <c r="F82" s="183"/>
      <c r="G82" s="130"/>
      <c r="H82" s="131"/>
      <c r="I82" s="132"/>
      <c r="J82" s="189"/>
      <c r="K82" s="133"/>
      <c r="L82" s="134"/>
      <c r="M82" s="334"/>
      <c r="N82" s="343"/>
      <c r="O82" s="192"/>
      <c r="P82" s="191"/>
      <c r="Q82" s="192"/>
      <c r="R82" s="191"/>
      <c r="S82" s="295"/>
      <c r="T82" s="301"/>
      <c r="U82" s="306"/>
      <c r="V82" s="308"/>
      <c r="W82" s="249"/>
      <c r="X82" s="344"/>
      <c r="Y82" s="337"/>
      <c r="Z82" s="33"/>
      <c r="AA82" s="83"/>
      <c r="AB82" s="33"/>
      <c r="AC82" s="83"/>
      <c r="AD82" s="33"/>
      <c r="AE82" s="83"/>
      <c r="AF82" s="33"/>
      <c r="AG82" s="244"/>
      <c r="AH82" s="83"/>
      <c r="AI82" s="246"/>
      <c r="AJ82" s="195"/>
      <c r="AK82" s="92"/>
      <c r="AL82" s="91"/>
      <c r="AM82" s="92"/>
      <c r="AN82" s="351"/>
      <c r="AO82" s="197">
        <f t="shared" si="7"/>
        <v>0</v>
      </c>
      <c r="AP82" s="91"/>
      <c r="AQ82" s="217"/>
      <c r="AR82" s="196"/>
      <c r="AS82" s="265"/>
      <c r="AT82" s="94"/>
      <c r="AU82" s="84"/>
      <c r="AV82" s="136"/>
      <c r="AW82" s="81"/>
      <c r="AX82" s="137"/>
      <c r="AY82" s="138"/>
      <c r="AZ82" s="220">
        <f t="shared" si="4"/>
        <v>0</v>
      </c>
      <c r="BA82" s="220">
        <f t="shared" si="5"/>
        <v>0</v>
      </c>
    </row>
    <row r="83" spans="1:53" ht="50.1" customHeight="1" x14ac:dyDescent="0.25">
      <c r="A83" s="17">
        <f t="shared" si="6"/>
        <v>69</v>
      </c>
      <c r="B83" s="228"/>
      <c r="C83" s="221"/>
      <c r="D83" s="88"/>
      <c r="E83" s="100"/>
      <c r="F83" s="95"/>
      <c r="G83" s="114"/>
      <c r="H83" s="96"/>
      <c r="I83" s="97"/>
      <c r="J83" s="98"/>
      <c r="K83" s="101"/>
      <c r="L83" s="124"/>
      <c r="M83" s="333"/>
      <c r="N83" s="341"/>
      <c r="O83" s="190"/>
      <c r="P83" s="191"/>
      <c r="Q83" s="190"/>
      <c r="R83" s="191"/>
      <c r="S83" s="294"/>
      <c r="T83" s="300"/>
      <c r="U83" s="306"/>
      <c r="V83" s="308"/>
      <c r="W83" s="248"/>
      <c r="X83" s="342"/>
      <c r="Y83" s="337"/>
      <c r="Z83" s="123"/>
      <c r="AA83" s="83"/>
      <c r="AB83" s="123"/>
      <c r="AC83" s="83"/>
      <c r="AD83" s="123"/>
      <c r="AE83" s="83"/>
      <c r="AF83" s="123"/>
      <c r="AG83" s="243"/>
      <c r="AH83" s="33"/>
      <c r="AI83" s="245"/>
      <c r="AJ83" s="125"/>
      <c r="AK83" s="92"/>
      <c r="AL83" s="126"/>
      <c r="AM83" s="91"/>
      <c r="AN83" s="91"/>
      <c r="AO83" s="197">
        <f t="shared" si="7"/>
        <v>0</v>
      </c>
      <c r="AP83" s="126"/>
      <c r="AQ83" s="217"/>
      <c r="AR83" s="201"/>
      <c r="AS83" s="266"/>
      <c r="AT83" s="94"/>
      <c r="AU83" s="84"/>
      <c r="AV83" s="80"/>
      <c r="AW83" s="81"/>
      <c r="AX83" s="77"/>
      <c r="AY83" s="107"/>
      <c r="AZ83" s="220">
        <f t="shared" si="4"/>
        <v>0</v>
      </c>
      <c r="BA83" s="220">
        <f t="shared" si="5"/>
        <v>0</v>
      </c>
    </row>
    <row r="84" spans="1:53" ht="50.1" customHeight="1" x14ac:dyDescent="0.25">
      <c r="A84" s="17">
        <f t="shared" si="6"/>
        <v>70</v>
      </c>
      <c r="B84" s="229"/>
      <c r="C84" s="222"/>
      <c r="D84" s="112"/>
      <c r="E84" s="128"/>
      <c r="F84" s="183"/>
      <c r="G84" s="130"/>
      <c r="H84" s="131"/>
      <c r="I84" s="132"/>
      <c r="J84" s="189"/>
      <c r="K84" s="133"/>
      <c r="L84" s="134"/>
      <c r="M84" s="334"/>
      <c r="N84" s="343"/>
      <c r="O84" s="192"/>
      <c r="P84" s="191"/>
      <c r="Q84" s="192"/>
      <c r="R84" s="191"/>
      <c r="S84" s="295"/>
      <c r="T84" s="301"/>
      <c r="U84" s="306"/>
      <c r="V84" s="308"/>
      <c r="W84" s="249"/>
      <c r="X84" s="344"/>
      <c r="Y84" s="337"/>
      <c r="Z84" s="33"/>
      <c r="AA84" s="83"/>
      <c r="AB84" s="33"/>
      <c r="AC84" s="83"/>
      <c r="AD84" s="33"/>
      <c r="AE84" s="83"/>
      <c r="AF84" s="33"/>
      <c r="AG84" s="244"/>
      <c r="AH84" s="83"/>
      <c r="AI84" s="246"/>
      <c r="AJ84" s="102"/>
      <c r="AK84" s="92"/>
      <c r="AL84" s="91"/>
      <c r="AM84" s="92"/>
      <c r="AN84" s="351"/>
      <c r="AO84" s="197">
        <f t="shared" si="7"/>
        <v>0</v>
      </c>
      <c r="AP84" s="91"/>
      <c r="AQ84" s="217"/>
      <c r="AR84" s="196"/>
      <c r="AS84" s="265"/>
      <c r="AT84" s="94"/>
      <c r="AU84" s="84"/>
      <c r="AV84" s="136"/>
      <c r="AW84" s="81"/>
      <c r="AX84" s="137"/>
      <c r="AY84" s="138"/>
      <c r="AZ84" s="220">
        <f t="shared" si="4"/>
        <v>0</v>
      </c>
      <c r="BA84" s="220">
        <f t="shared" si="5"/>
        <v>0</v>
      </c>
    </row>
    <row r="85" spans="1:53" ht="50.1" customHeight="1" x14ac:dyDescent="0.25">
      <c r="A85" s="17">
        <f t="shared" si="6"/>
        <v>71</v>
      </c>
      <c r="B85" s="228"/>
      <c r="C85" s="221"/>
      <c r="D85" s="88"/>
      <c r="E85" s="100"/>
      <c r="F85" s="95"/>
      <c r="G85" s="114"/>
      <c r="H85" s="96"/>
      <c r="I85" s="97"/>
      <c r="J85" s="98"/>
      <c r="K85" s="101"/>
      <c r="L85" s="124"/>
      <c r="M85" s="333"/>
      <c r="N85" s="341"/>
      <c r="O85" s="190"/>
      <c r="P85" s="191"/>
      <c r="Q85" s="190"/>
      <c r="R85" s="191"/>
      <c r="S85" s="294"/>
      <c r="T85" s="300"/>
      <c r="U85" s="306"/>
      <c r="V85" s="308"/>
      <c r="W85" s="248"/>
      <c r="X85" s="342"/>
      <c r="Y85" s="337"/>
      <c r="Z85" s="123"/>
      <c r="AA85" s="83"/>
      <c r="AB85" s="123"/>
      <c r="AC85" s="83"/>
      <c r="AD85" s="123"/>
      <c r="AE85" s="83"/>
      <c r="AF85" s="123"/>
      <c r="AG85" s="243"/>
      <c r="AH85" s="33"/>
      <c r="AI85" s="245"/>
      <c r="AJ85" s="125"/>
      <c r="AK85" s="92"/>
      <c r="AL85" s="126"/>
      <c r="AM85" s="91"/>
      <c r="AN85" s="91"/>
      <c r="AO85" s="197">
        <f t="shared" si="7"/>
        <v>0</v>
      </c>
      <c r="AP85" s="126"/>
      <c r="AQ85" s="217"/>
      <c r="AR85" s="201"/>
      <c r="AS85" s="266"/>
      <c r="AT85" s="94"/>
      <c r="AU85" s="84"/>
      <c r="AV85" s="80"/>
      <c r="AW85" s="81"/>
      <c r="AX85" s="77"/>
      <c r="AY85" s="107"/>
      <c r="AZ85" s="220">
        <f t="shared" si="4"/>
        <v>0</v>
      </c>
      <c r="BA85" s="220">
        <f t="shared" si="5"/>
        <v>0</v>
      </c>
    </row>
    <row r="86" spans="1:53" ht="50.1" customHeight="1" x14ac:dyDescent="0.25">
      <c r="A86" s="17">
        <f t="shared" si="6"/>
        <v>72</v>
      </c>
      <c r="B86" s="229"/>
      <c r="C86" s="222"/>
      <c r="D86" s="112"/>
      <c r="E86" s="128"/>
      <c r="F86" s="183"/>
      <c r="G86" s="130"/>
      <c r="H86" s="131"/>
      <c r="I86" s="132"/>
      <c r="J86" s="189"/>
      <c r="K86" s="133"/>
      <c r="L86" s="134"/>
      <c r="M86" s="334"/>
      <c r="N86" s="343"/>
      <c r="O86" s="192"/>
      <c r="P86" s="191"/>
      <c r="Q86" s="192"/>
      <c r="R86" s="191"/>
      <c r="S86" s="295"/>
      <c r="T86" s="301"/>
      <c r="U86" s="306"/>
      <c r="V86" s="308"/>
      <c r="W86" s="249"/>
      <c r="X86" s="344"/>
      <c r="Y86" s="337"/>
      <c r="Z86" s="33"/>
      <c r="AA86" s="83"/>
      <c r="AB86" s="33"/>
      <c r="AC86" s="83"/>
      <c r="AD86" s="33"/>
      <c r="AE86" s="83"/>
      <c r="AF86" s="33"/>
      <c r="AG86" s="244"/>
      <c r="AH86" s="83"/>
      <c r="AI86" s="246"/>
      <c r="AJ86" s="102"/>
      <c r="AK86" s="92"/>
      <c r="AL86" s="91"/>
      <c r="AM86" s="92"/>
      <c r="AN86" s="351"/>
      <c r="AO86" s="197">
        <f t="shared" si="7"/>
        <v>0</v>
      </c>
      <c r="AP86" s="91"/>
      <c r="AQ86" s="217"/>
      <c r="AR86" s="83"/>
      <c r="AS86" s="267"/>
      <c r="AT86" s="94"/>
      <c r="AU86" s="84"/>
      <c r="AV86" s="136"/>
      <c r="AW86" s="81"/>
      <c r="AX86" s="137"/>
      <c r="AY86" s="138"/>
      <c r="AZ86" s="220">
        <f t="shared" si="4"/>
        <v>0</v>
      </c>
      <c r="BA86" s="220">
        <f t="shared" si="5"/>
        <v>0</v>
      </c>
    </row>
    <row r="87" spans="1:53" ht="50.1" customHeight="1" x14ac:dyDescent="0.25">
      <c r="A87" s="17">
        <f t="shared" si="6"/>
        <v>73</v>
      </c>
      <c r="B87" s="228"/>
      <c r="C87" s="221"/>
      <c r="D87" s="88"/>
      <c r="E87" s="100"/>
      <c r="F87" s="95"/>
      <c r="G87" s="114"/>
      <c r="H87" s="96"/>
      <c r="I87" s="97"/>
      <c r="J87" s="98"/>
      <c r="K87" s="101"/>
      <c r="L87" s="124"/>
      <c r="M87" s="333"/>
      <c r="N87" s="341"/>
      <c r="O87" s="190"/>
      <c r="P87" s="191"/>
      <c r="Q87" s="190"/>
      <c r="R87" s="191"/>
      <c r="S87" s="294"/>
      <c r="T87" s="300"/>
      <c r="U87" s="306"/>
      <c r="V87" s="308"/>
      <c r="W87" s="248"/>
      <c r="X87" s="342"/>
      <c r="Y87" s="337"/>
      <c r="Z87" s="123"/>
      <c r="AA87" s="83"/>
      <c r="AB87" s="123"/>
      <c r="AC87" s="83"/>
      <c r="AD87" s="123"/>
      <c r="AE87" s="83"/>
      <c r="AF87" s="123"/>
      <c r="AG87" s="243"/>
      <c r="AH87" s="33"/>
      <c r="AI87" s="245"/>
      <c r="AJ87" s="125"/>
      <c r="AK87" s="92"/>
      <c r="AL87" s="126"/>
      <c r="AM87" s="91"/>
      <c r="AN87" s="91"/>
      <c r="AO87" s="197">
        <f t="shared" si="7"/>
        <v>0</v>
      </c>
      <c r="AP87" s="126"/>
      <c r="AQ87" s="217"/>
      <c r="AR87" s="201"/>
      <c r="AS87" s="266"/>
      <c r="AT87" s="94"/>
      <c r="AU87" s="84"/>
      <c r="AV87" s="80"/>
      <c r="AW87" s="81"/>
      <c r="AX87" s="77"/>
      <c r="AY87" s="107"/>
      <c r="AZ87" s="220">
        <f t="shared" si="4"/>
        <v>0</v>
      </c>
      <c r="BA87" s="220">
        <f t="shared" si="5"/>
        <v>0</v>
      </c>
    </row>
    <row r="88" spans="1:53" ht="50.1" customHeight="1" x14ac:dyDescent="0.25">
      <c r="A88" s="17">
        <f t="shared" si="6"/>
        <v>74</v>
      </c>
      <c r="B88" s="229"/>
      <c r="C88" s="222"/>
      <c r="D88" s="112"/>
      <c r="E88" s="128"/>
      <c r="F88" s="183"/>
      <c r="G88" s="130"/>
      <c r="H88" s="131"/>
      <c r="I88" s="132"/>
      <c r="J88" s="189"/>
      <c r="K88" s="133"/>
      <c r="L88" s="134"/>
      <c r="M88" s="334"/>
      <c r="N88" s="343"/>
      <c r="O88" s="192"/>
      <c r="P88" s="191"/>
      <c r="Q88" s="192"/>
      <c r="R88" s="191"/>
      <c r="S88" s="295"/>
      <c r="T88" s="301"/>
      <c r="U88" s="306"/>
      <c r="V88" s="308"/>
      <c r="W88" s="249"/>
      <c r="X88" s="344"/>
      <c r="Y88" s="337"/>
      <c r="Z88" s="33"/>
      <c r="AA88" s="83"/>
      <c r="AB88" s="33"/>
      <c r="AC88" s="83"/>
      <c r="AD88" s="33"/>
      <c r="AE88" s="83"/>
      <c r="AF88" s="33"/>
      <c r="AG88" s="244"/>
      <c r="AH88" s="83"/>
      <c r="AI88" s="246"/>
      <c r="AJ88" s="102"/>
      <c r="AK88" s="92"/>
      <c r="AL88" s="91"/>
      <c r="AM88" s="92"/>
      <c r="AN88" s="351"/>
      <c r="AO88" s="197">
        <f t="shared" si="7"/>
        <v>0</v>
      </c>
      <c r="AP88" s="91"/>
      <c r="AQ88" s="217"/>
      <c r="AR88" s="83"/>
      <c r="AS88" s="267"/>
      <c r="AT88" s="94"/>
      <c r="AU88" s="84"/>
      <c r="AV88" s="136"/>
      <c r="AW88" s="81"/>
      <c r="AX88" s="137"/>
      <c r="AY88" s="138"/>
      <c r="AZ88" s="220">
        <f t="shared" si="4"/>
        <v>0</v>
      </c>
      <c r="BA88" s="220">
        <f t="shared" si="5"/>
        <v>0</v>
      </c>
    </row>
    <row r="89" spans="1:53" ht="50.1" customHeight="1" x14ac:dyDescent="0.25">
      <c r="A89" s="17">
        <f t="shared" si="6"/>
        <v>75</v>
      </c>
      <c r="B89" s="228"/>
      <c r="C89" s="221"/>
      <c r="D89" s="88"/>
      <c r="E89" s="100"/>
      <c r="F89" s="95"/>
      <c r="G89" s="114"/>
      <c r="H89" s="96"/>
      <c r="I89" s="97"/>
      <c r="J89" s="98"/>
      <c r="K89" s="101"/>
      <c r="L89" s="124"/>
      <c r="M89" s="333"/>
      <c r="N89" s="341"/>
      <c r="O89" s="190"/>
      <c r="P89" s="191"/>
      <c r="Q89" s="190"/>
      <c r="R89" s="191"/>
      <c r="S89" s="294"/>
      <c r="T89" s="300"/>
      <c r="U89" s="306"/>
      <c r="V89" s="308"/>
      <c r="W89" s="248"/>
      <c r="X89" s="342"/>
      <c r="Y89" s="337"/>
      <c r="Z89" s="123"/>
      <c r="AA89" s="83"/>
      <c r="AB89" s="123"/>
      <c r="AC89" s="83"/>
      <c r="AD89" s="123"/>
      <c r="AE89" s="83"/>
      <c r="AF89" s="123"/>
      <c r="AG89" s="243"/>
      <c r="AH89" s="33"/>
      <c r="AI89" s="245"/>
      <c r="AJ89" s="125"/>
      <c r="AK89" s="92"/>
      <c r="AL89" s="126"/>
      <c r="AM89" s="91"/>
      <c r="AN89" s="91"/>
      <c r="AO89" s="197">
        <f t="shared" si="7"/>
        <v>0</v>
      </c>
      <c r="AP89" s="126"/>
      <c r="AQ89" s="217"/>
      <c r="AR89" s="201"/>
      <c r="AS89" s="266"/>
      <c r="AT89" s="94"/>
      <c r="AU89" s="84"/>
      <c r="AV89" s="80"/>
      <c r="AW89" s="81"/>
      <c r="AX89" s="77"/>
      <c r="AY89" s="107"/>
      <c r="AZ89" s="220">
        <f t="shared" si="4"/>
        <v>0</v>
      </c>
      <c r="BA89" s="220">
        <f t="shared" si="5"/>
        <v>0</v>
      </c>
    </row>
    <row r="90" spans="1:53" ht="50.1" customHeight="1" x14ac:dyDescent="0.25">
      <c r="A90" s="17">
        <f t="shared" si="6"/>
        <v>76</v>
      </c>
      <c r="B90" s="229"/>
      <c r="C90" s="222"/>
      <c r="D90" s="112"/>
      <c r="E90" s="128"/>
      <c r="F90" s="183"/>
      <c r="G90" s="130"/>
      <c r="H90" s="131"/>
      <c r="I90" s="132"/>
      <c r="J90" s="189"/>
      <c r="K90" s="133"/>
      <c r="L90" s="134"/>
      <c r="M90" s="334"/>
      <c r="N90" s="343"/>
      <c r="O90" s="192"/>
      <c r="P90" s="191"/>
      <c r="Q90" s="192"/>
      <c r="R90" s="191"/>
      <c r="S90" s="295"/>
      <c r="T90" s="301"/>
      <c r="U90" s="306"/>
      <c r="V90" s="308"/>
      <c r="W90" s="249"/>
      <c r="X90" s="344"/>
      <c r="Y90" s="337"/>
      <c r="Z90" s="33"/>
      <c r="AA90" s="83"/>
      <c r="AB90" s="33"/>
      <c r="AC90" s="83"/>
      <c r="AD90" s="33"/>
      <c r="AE90" s="83"/>
      <c r="AF90" s="33"/>
      <c r="AG90" s="244"/>
      <c r="AH90" s="83"/>
      <c r="AI90" s="246"/>
      <c r="AJ90" s="102"/>
      <c r="AK90" s="92"/>
      <c r="AL90" s="91"/>
      <c r="AM90" s="92"/>
      <c r="AN90" s="351"/>
      <c r="AO90" s="197">
        <f t="shared" si="7"/>
        <v>0</v>
      </c>
      <c r="AP90" s="91"/>
      <c r="AQ90" s="217"/>
      <c r="AR90" s="83"/>
      <c r="AS90" s="267"/>
      <c r="AT90" s="94"/>
      <c r="AU90" s="84"/>
      <c r="AV90" s="136"/>
      <c r="AW90" s="81"/>
      <c r="AX90" s="137"/>
      <c r="AY90" s="138"/>
      <c r="AZ90" s="220">
        <f t="shared" si="4"/>
        <v>0</v>
      </c>
      <c r="BA90" s="220">
        <f t="shared" si="5"/>
        <v>0</v>
      </c>
    </row>
    <row r="91" spans="1:53" ht="50.1" customHeight="1" x14ac:dyDescent="0.25">
      <c r="A91" s="17">
        <f t="shared" si="6"/>
        <v>77</v>
      </c>
      <c r="B91" s="228"/>
      <c r="C91" s="221"/>
      <c r="D91" s="88"/>
      <c r="E91" s="100"/>
      <c r="F91" s="95"/>
      <c r="G91" s="114"/>
      <c r="H91" s="96"/>
      <c r="I91" s="97"/>
      <c r="J91" s="98"/>
      <c r="K91" s="101"/>
      <c r="L91" s="124"/>
      <c r="M91" s="333"/>
      <c r="N91" s="341"/>
      <c r="O91" s="190"/>
      <c r="P91" s="191"/>
      <c r="Q91" s="190"/>
      <c r="R91" s="191"/>
      <c r="S91" s="294"/>
      <c r="T91" s="300"/>
      <c r="U91" s="306"/>
      <c r="V91" s="308"/>
      <c r="W91" s="248"/>
      <c r="X91" s="342"/>
      <c r="Y91" s="337"/>
      <c r="Z91" s="123"/>
      <c r="AA91" s="83"/>
      <c r="AB91" s="123"/>
      <c r="AC91" s="83"/>
      <c r="AD91" s="123"/>
      <c r="AE91" s="83"/>
      <c r="AF91" s="123"/>
      <c r="AG91" s="243"/>
      <c r="AH91" s="33"/>
      <c r="AI91" s="245"/>
      <c r="AJ91" s="125"/>
      <c r="AK91" s="92"/>
      <c r="AL91" s="126"/>
      <c r="AM91" s="91"/>
      <c r="AN91" s="91"/>
      <c r="AO91" s="197">
        <f t="shared" si="7"/>
        <v>0</v>
      </c>
      <c r="AP91" s="126"/>
      <c r="AQ91" s="217"/>
      <c r="AR91" s="201"/>
      <c r="AS91" s="266"/>
      <c r="AT91" s="94"/>
      <c r="AU91" s="84"/>
      <c r="AV91" s="80"/>
      <c r="AW91" s="81"/>
      <c r="AX91" s="77"/>
      <c r="AY91" s="107"/>
      <c r="AZ91" s="220">
        <f t="shared" si="4"/>
        <v>0</v>
      </c>
      <c r="BA91" s="220">
        <f t="shared" si="5"/>
        <v>0</v>
      </c>
    </row>
    <row r="92" spans="1:53" ht="50.1" customHeight="1" x14ac:dyDescent="0.25">
      <c r="A92" s="17">
        <f t="shared" si="6"/>
        <v>78</v>
      </c>
      <c r="B92" s="229"/>
      <c r="C92" s="222"/>
      <c r="D92" s="112"/>
      <c r="E92" s="128"/>
      <c r="F92" s="183"/>
      <c r="G92" s="130"/>
      <c r="H92" s="131"/>
      <c r="I92" s="132"/>
      <c r="J92" s="189"/>
      <c r="K92" s="133"/>
      <c r="L92" s="134"/>
      <c r="M92" s="334"/>
      <c r="N92" s="343"/>
      <c r="O92" s="192"/>
      <c r="P92" s="191"/>
      <c r="Q92" s="192"/>
      <c r="R92" s="191"/>
      <c r="S92" s="295"/>
      <c r="T92" s="301"/>
      <c r="U92" s="306"/>
      <c r="V92" s="308"/>
      <c r="W92" s="249"/>
      <c r="X92" s="344"/>
      <c r="Y92" s="337"/>
      <c r="Z92" s="33"/>
      <c r="AA92" s="83"/>
      <c r="AB92" s="33"/>
      <c r="AC92" s="83"/>
      <c r="AD92" s="33"/>
      <c r="AE92" s="83"/>
      <c r="AF92" s="33"/>
      <c r="AG92" s="244"/>
      <c r="AH92" s="83"/>
      <c r="AI92" s="246"/>
      <c r="AJ92" s="102"/>
      <c r="AK92" s="92"/>
      <c r="AL92" s="91"/>
      <c r="AM92" s="92"/>
      <c r="AN92" s="351"/>
      <c r="AO92" s="197">
        <f t="shared" si="7"/>
        <v>0</v>
      </c>
      <c r="AP92" s="91"/>
      <c r="AQ92" s="217"/>
      <c r="AR92" s="83"/>
      <c r="AS92" s="267"/>
      <c r="AT92" s="94"/>
      <c r="AU92" s="84"/>
      <c r="AV92" s="136"/>
      <c r="AW92" s="81"/>
      <c r="AX92" s="137"/>
      <c r="AY92" s="138"/>
      <c r="AZ92" s="220">
        <f t="shared" si="4"/>
        <v>0</v>
      </c>
      <c r="BA92" s="220">
        <f t="shared" si="5"/>
        <v>0</v>
      </c>
    </row>
    <row r="93" spans="1:53" ht="50.1" customHeight="1" x14ac:dyDescent="0.25">
      <c r="A93" s="17">
        <f t="shared" si="6"/>
        <v>79</v>
      </c>
      <c r="B93" s="228"/>
      <c r="C93" s="221"/>
      <c r="D93" s="88"/>
      <c r="E93" s="100"/>
      <c r="F93" s="95"/>
      <c r="G93" s="114"/>
      <c r="H93" s="96"/>
      <c r="I93" s="97"/>
      <c r="J93" s="98"/>
      <c r="K93" s="101"/>
      <c r="L93" s="124"/>
      <c r="M93" s="333"/>
      <c r="N93" s="341"/>
      <c r="O93" s="190"/>
      <c r="P93" s="191"/>
      <c r="Q93" s="190"/>
      <c r="R93" s="191"/>
      <c r="S93" s="294"/>
      <c r="T93" s="300"/>
      <c r="U93" s="306"/>
      <c r="V93" s="308"/>
      <c r="W93" s="248"/>
      <c r="X93" s="342"/>
      <c r="Y93" s="337"/>
      <c r="Z93" s="123"/>
      <c r="AA93" s="83"/>
      <c r="AB93" s="123"/>
      <c r="AC93" s="83"/>
      <c r="AD93" s="123"/>
      <c r="AE93" s="83"/>
      <c r="AF93" s="123"/>
      <c r="AG93" s="243"/>
      <c r="AH93" s="33"/>
      <c r="AI93" s="245"/>
      <c r="AJ93" s="125"/>
      <c r="AK93" s="92"/>
      <c r="AL93" s="126"/>
      <c r="AM93" s="91"/>
      <c r="AN93" s="91"/>
      <c r="AO93" s="197">
        <f t="shared" si="7"/>
        <v>0</v>
      </c>
      <c r="AP93" s="126"/>
      <c r="AQ93" s="217"/>
      <c r="AR93" s="201"/>
      <c r="AS93" s="266"/>
      <c r="AT93" s="94"/>
      <c r="AU93" s="84"/>
      <c r="AV93" s="80"/>
      <c r="AW93" s="81"/>
      <c r="AX93" s="77"/>
      <c r="AY93" s="107"/>
      <c r="AZ93" s="220">
        <f t="shared" si="4"/>
        <v>0</v>
      </c>
      <c r="BA93" s="220">
        <f t="shared" si="5"/>
        <v>0</v>
      </c>
    </row>
    <row r="94" spans="1:53" ht="50.1" customHeight="1" x14ac:dyDescent="0.25">
      <c r="A94" s="17">
        <f t="shared" si="6"/>
        <v>80</v>
      </c>
      <c r="B94" s="229"/>
      <c r="C94" s="222"/>
      <c r="D94" s="112"/>
      <c r="E94" s="128"/>
      <c r="F94" s="183"/>
      <c r="G94" s="130"/>
      <c r="H94" s="131"/>
      <c r="I94" s="132"/>
      <c r="J94" s="189"/>
      <c r="K94" s="133"/>
      <c r="L94" s="134"/>
      <c r="M94" s="334"/>
      <c r="N94" s="343"/>
      <c r="O94" s="192"/>
      <c r="P94" s="191"/>
      <c r="Q94" s="192"/>
      <c r="R94" s="191"/>
      <c r="S94" s="295"/>
      <c r="T94" s="301"/>
      <c r="U94" s="306"/>
      <c r="V94" s="308"/>
      <c r="W94" s="249"/>
      <c r="X94" s="345"/>
      <c r="Y94" s="337"/>
      <c r="Z94" s="33"/>
      <c r="AA94" s="83"/>
      <c r="AB94" s="33"/>
      <c r="AC94" s="83"/>
      <c r="AD94" s="33"/>
      <c r="AE94" s="83"/>
      <c r="AF94" s="33"/>
      <c r="AG94" s="244"/>
      <c r="AH94" s="83"/>
      <c r="AI94" s="246"/>
      <c r="AJ94" s="102"/>
      <c r="AK94" s="92"/>
      <c r="AL94" s="91"/>
      <c r="AM94" s="92"/>
      <c r="AN94" s="351"/>
      <c r="AO94" s="197">
        <f t="shared" si="7"/>
        <v>0</v>
      </c>
      <c r="AP94" s="91"/>
      <c r="AQ94" s="217"/>
      <c r="AR94" s="83"/>
      <c r="AS94" s="267"/>
      <c r="AT94" s="94"/>
      <c r="AU94" s="84"/>
      <c r="AV94" s="136"/>
      <c r="AW94" s="81"/>
      <c r="AX94" s="137"/>
      <c r="AY94" s="138"/>
      <c r="AZ94" s="220">
        <f t="shared" si="4"/>
        <v>0</v>
      </c>
      <c r="BA94" s="220">
        <f t="shared" si="5"/>
        <v>0</v>
      </c>
    </row>
    <row r="95" spans="1:53" ht="50.1" customHeight="1" x14ac:dyDescent="0.25">
      <c r="A95" s="17">
        <f t="shared" si="6"/>
        <v>81</v>
      </c>
      <c r="B95" s="228"/>
      <c r="C95" s="221"/>
      <c r="D95" s="88"/>
      <c r="E95" s="100"/>
      <c r="F95" s="95"/>
      <c r="G95" s="114"/>
      <c r="H95" s="96"/>
      <c r="I95" s="97"/>
      <c r="J95" s="98"/>
      <c r="K95" s="101"/>
      <c r="L95" s="124"/>
      <c r="M95" s="333"/>
      <c r="N95" s="341"/>
      <c r="O95" s="190"/>
      <c r="P95" s="191"/>
      <c r="Q95" s="190"/>
      <c r="R95" s="191"/>
      <c r="S95" s="294"/>
      <c r="T95" s="300"/>
      <c r="U95" s="306"/>
      <c r="V95" s="308"/>
      <c r="W95" s="248"/>
      <c r="X95" s="342"/>
      <c r="Y95" s="337"/>
      <c r="Z95" s="123"/>
      <c r="AA95" s="83"/>
      <c r="AB95" s="123"/>
      <c r="AC95" s="83"/>
      <c r="AD95" s="123"/>
      <c r="AE95" s="83"/>
      <c r="AF95" s="123"/>
      <c r="AG95" s="243"/>
      <c r="AH95" s="33"/>
      <c r="AI95" s="245"/>
      <c r="AJ95" s="125"/>
      <c r="AK95" s="92"/>
      <c r="AL95" s="126"/>
      <c r="AM95" s="91"/>
      <c r="AN95" s="91"/>
      <c r="AO95" s="197">
        <f t="shared" si="7"/>
        <v>0</v>
      </c>
      <c r="AP95" s="126"/>
      <c r="AQ95" s="217"/>
      <c r="AR95" s="201"/>
      <c r="AS95" s="266"/>
      <c r="AT95" s="94"/>
      <c r="AU95" s="84"/>
      <c r="AV95" s="80"/>
      <c r="AW95" s="81"/>
      <c r="AX95" s="77"/>
      <c r="AY95" s="107"/>
      <c r="AZ95" s="220">
        <f t="shared" si="4"/>
        <v>0</v>
      </c>
      <c r="BA95" s="220">
        <f t="shared" si="5"/>
        <v>0</v>
      </c>
    </row>
    <row r="96" spans="1:53" ht="50.1" customHeight="1" x14ac:dyDescent="0.25">
      <c r="A96" s="17">
        <f t="shared" si="6"/>
        <v>82</v>
      </c>
      <c r="B96" s="229"/>
      <c r="C96" s="222"/>
      <c r="D96" s="112"/>
      <c r="E96" s="128"/>
      <c r="F96" s="183"/>
      <c r="G96" s="130"/>
      <c r="H96" s="131"/>
      <c r="I96" s="132"/>
      <c r="J96" s="189"/>
      <c r="K96" s="133"/>
      <c r="L96" s="134"/>
      <c r="M96" s="334"/>
      <c r="N96" s="343"/>
      <c r="O96" s="192"/>
      <c r="P96" s="191"/>
      <c r="Q96" s="192"/>
      <c r="R96" s="191"/>
      <c r="S96" s="295"/>
      <c r="T96" s="301"/>
      <c r="U96" s="306"/>
      <c r="V96" s="308"/>
      <c r="W96" s="249"/>
      <c r="X96" s="344"/>
      <c r="Y96" s="337"/>
      <c r="Z96" s="33"/>
      <c r="AA96" s="83"/>
      <c r="AB96" s="33"/>
      <c r="AC96" s="83"/>
      <c r="AD96" s="33"/>
      <c r="AE96" s="83"/>
      <c r="AF96" s="33"/>
      <c r="AG96" s="244"/>
      <c r="AH96" s="83"/>
      <c r="AI96" s="246"/>
      <c r="AJ96" s="102"/>
      <c r="AK96" s="92"/>
      <c r="AL96" s="91"/>
      <c r="AM96" s="92"/>
      <c r="AN96" s="351"/>
      <c r="AO96" s="197">
        <f t="shared" si="7"/>
        <v>0</v>
      </c>
      <c r="AP96" s="91"/>
      <c r="AQ96" s="217"/>
      <c r="AR96" s="83"/>
      <c r="AS96" s="267"/>
      <c r="AT96" s="94"/>
      <c r="AU96" s="84"/>
      <c r="AV96" s="136"/>
      <c r="AW96" s="81"/>
      <c r="AX96" s="137"/>
      <c r="AY96" s="138"/>
      <c r="AZ96" s="220">
        <f t="shared" si="4"/>
        <v>0</v>
      </c>
      <c r="BA96" s="220">
        <f t="shared" si="5"/>
        <v>0</v>
      </c>
    </row>
    <row r="97" spans="1:53" ht="50.1" customHeight="1" x14ac:dyDescent="0.25">
      <c r="A97" s="17">
        <f t="shared" si="6"/>
        <v>83</v>
      </c>
      <c r="B97" s="228"/>
      <c r="C97" s="221"/>
      <c r="D97" s="88"/>
      <c r="E97" s="100"/>
      <c r="F97" s="95"/>
      <c r="G97" s="114"/>
      <c r="H97" s="96"/>
      <c r="I97" s="97"/>
      <c r="J97" s="98"/>
      <c r="K97" s="101"/>
      <c r="L97" s="124"/>
      <c r="M97" s="333"/>
      <c r="N97" s="341"/>
      <c r="O97" s="190"/>
      <c r="P97" s="191"/>
      <c r="Q97" s="190"/>
      <c r="R97" s="191"/>
      <c r="S97" s="294"/>
      <c r="T97" s="300"/>
      <c r="U97" s="306"/>
      <c r="V97" s="308"/>
      <c r="W97" s="248"/>
      <c r="X97" s="342"/>
      <c r="Y97" s="337"/>
      <c r="Z97" s="123"/>
      <c r="AA97" s="83"/>
      <c r="AB97" s="123"/>
      <c r="AC97" s="83"/>
      <c r="AD97" s="123"/>
      <c r="AE97" s="83"/>
      <c r="AF97" s="123"/>
      <c r="AG97" s="243"/>
      <c r="AH97" s="33"/>
      <c r="AI97" s="245"/>
      <c r="AJ97" s="198"/>
      <c r="AK97" s="92"/>
      <c r="AL97" s="126"/>
      <c r="AM97" s="91"/>
      <c r="AN97" s="91"/>
      <c r="AO97" s="197">
        <f t="shared" si="7"/>
        <v>0</v>
      </c>
      <c r="AP97" s="126"/>
      <c r="AQ97" s="217"/>
      <c r="AR97" s="123"/>
      <c r="AS97" s="268"/>
      <c r="AT97" s="94"/>
      <c r="AU97" s="84"/>
      <c r="AV97" s="80"/>
      <c r="AW97" s="81"/>
      <c r="AX97" s="77"/>
      <c r="AY97" s="107"/>
      <c r="AZ97" s="220">
        <f t="shared" si="4"/>
        <v>0</v>
      </c>
      <c r="BA97" s="220">
        <f t="shared" si="5"/>
        <v>0</v>
      </c>
    </row>
    <row r="98" spans="1:53" ht="50.1" customHeight="1" x14ac:dyDescent="0.25">
      <c r="A98" s="17">
        <f t="shared" si="6"/>
        <v>84</v>
      </c>
      <c r="B98" s="229"/>
      <c r="C98" s="222"/>
      <c r="D98" s="112"/>
      <c r="E98" s="128"/>
      <c r="F98" s="183"/>
      <c r="G98" s="130"/>
      <c r="H98" s="131"/>
      <c r="I98" s="132"/>
      <c r="J98" s="189"/>
      <c r="K98" s="133"/>
      <c r="L98" s="134"/>
      <c r="M98" s="334"/>
      <c r="N98" s="343"/>
      <c r="O98" s="192"/>
      <c r="P98" s="191"/>
      <c r="Q98" s="192"/>
      <c r="R98" s="191"/>
      <c r="S98" s="295"/>
      <c r="T98" s="301"/>
      <c r="U98" s="306"/>
      <c r="V98" s="308"/>
      <c r="W98" s="249"/>
      <c r="X98" s="344"/>
      <c r="Y98" s="337"/>
      <c r="Z98" s="33"/>
      <c r="AA98" s="83"/>
      <c r="AB98" s="33"/>
      <c r="AC98" s="83"/>
      <c r="AD98" s="33"/>
      <c r="AE98" s="83"/>
      <c r="AF98" s="33"/>
      <c r="AG98" s="244"/>
      <c r="AH98" s="83"/>
      <c r="AI98" s="246"/>
      <c r="AJ98" s="195"/>
      <c r="AK98" s="92"/>
      <c r="AL98" s="91"/>
      <c r="AM98" s="92"/>
      <c r="AN98" s="351"/>
      <c r="AO98" s="197">
        <f t="shared" si="7"/>
        <v>0</v>
      </c>
      <c r="AP98" s="91"/>
      <c r="AQ98" s="217"/>
      <c r="AR98" s="83"/>
      <c r="AS98" s="267"/>
      <c r="AT98" s="94"/>
      <c r="AU98" s="84"/>
      <c r="AV98" s="136"/>
      <c r="AW98" s="81"/>
      <c r="AX98" s="137"/>
      <c r="AY98" s="138"/>
      <c r="AZ98" s="220">
        <f t="shared" si="4"/>
        <v>0</v>
      </c>
      <c r="BA98" s="220">
        <f t="shared" si="5"/>
        <v>0</v>
      </c>
    </row>
    <row r="99" spans="1:53" ht="50.1" customHeight="1" x14ac:dyDescent="0.25">
      <c r="A99" s="17">
        <f t="shared" si="6"/>
        <v>85</v>
      </c>
      <c r="B99" s="228"/>
      <c r="C99" s="221"/>
      <c r="D99" s="88"/>
      <c r="E99" s="100"/>
      <c r="F99" s="95"/>
      <c r="G99" s="114"/>
      <c r="H99" s="96"/>
      <c r="I99" s="97"/>
      <c r="J99" s="98"/>
      <c r="K99" s="101"/>
      <c r="L99" s="124"/>
      <c r="M99" s="333"/>
      <c r="N99" s="341"/>
      <c r="O99" s="190"/>
      <c r="P99" s="191"/>
      <c r="Q99" s="190"/>
      <c r="R99" s="191"/>
      <c r="S99" s="294"/>
      <c r="T99" s="300"/>
      <c r="U99" s="306"/>
      <c r="V99" s="308"/>
      <c r="W99" s="248"/>
      <c r="X99" s="342"/>
      <c r="Y99" s="337"/>
      <c r="Z99" s="123"/>
      <c r="AA99" s="83"/>
      <c r="AB99" s="123"/>
      <c r="AC99" s="83"/>
      <c r="AD99" s="123"/>
      <c r="AE99" s="83"/>
      <c r="AF99" s="123"/>
      <c r="AG99" s="243"/>
      <c r="AH99" s="33"/>
      <c r="AI99" s="245"/>
      <c r="AJ99" s="198"/>
      <c r="AK99" s="92"/>
      <c r="AL99" s="126"/>
      <c r="AM99" s="91"/>
      <c r="AN99" s="91"/>
      <c r="AO99" s="197">
        <f t="shared" si="7"/>
        <v>0</v>
      </c>
      <c r="AP99" s="126"/>
      <c r="AQ99" s="217"/>
      <c r="AR99" s="123"/>
      <c r="AS99" s="268"/>
      <c r="AT99" s="94"/>
      <c r="AU99" s="84"/>
      <c r="AV99" s="80"/>
      <c r="AW99" s="81"/>
      <c r="AX99" s="77"/>
      <c r="AY99" s="107"/>
      <c r="AZ99" s="220">
        <f t="shared" si="4"/>
        <v>0</v>
      </c>
      <c r="BA99" s="220">
        <f t="shared" si="5"/>
        <v>0</v>
      </c>
    </row>
    <row r="100" spans="1:53" ht="50.1" customHeight="1" x14ac:dyDescent="0.25">
      <c r="A100" s="17">
        <f t="shared" si="6"/>
        <v>86</v>
      </c>
      <c r="B100" s="229"/>
      <c r="C100" s="222"/>
      <c r="D100" s="112"/>
      <c r="E100" s="128"/>
      <c r="F100" s="183"/>
      <c r="G100" s="130"/>
      <c r="H100" s="131"/>
      <c r="I100" s="132"/>
      <c r="J100" s="189"/>
      <c r="K100" s="133"/>
      <c r="L100" s="134"/>
      <c r="M100" s="334"/>
      <c r="N100" s="343"/>
      <c r="O100" s="192"/>
      <c r="P100" s="191"/>
      <c r="Q100" s="192"/>
      <c r="R100" s="191"/>
      <c r="S100" s="295"/>
      <c r="T100" s="301"/>
      <c r="U100" s="306"/>
      <c r="V100" s="308"/>
      <c r="W100" s="249"/>
      <c r="X100" s="344"/>
      <c r="Y100" s="337"/>
      <c r="Z100" s="33"/>
      <c r="AA100" s="83"/>
      <c r="AB100" s="33"/>
      <c r="AC100" s="83"/>
      <c r="AD100" s="33"/>
      <c r="AE100" s="83"/>
      <c r="AF100" s="33"/>
      <c r="AG100" s="244"/>
      <c r="AH100" s="83"/>
      <c r="AI100" s="246"/>
      <c r="AJ100" s="102"/>
      <c r="AK100" s="92"/>
      <c r="AL100" s="91"/>
      <c r="AM100" s="92"/>
      <c r="AN100" s="351"/>
      <c r="AO100" s="197">
        <f t="shared" si="7"/>
        <v>0</v>
      </c>
      <c r="AP100" s="91"/>
      <c r="AQ100" s="217"/>
      <c r="AR100" s="83"/>
      <c r="AS100" s="267"/>
      <c r="AT100" s="94"/>
      <c r="AU100" s="84"/>
      <c r="AV100" s="136"/>
      <c r="AW100" s="81"/>
      <c r="AX100" s="137"/>
      <c r="AY100" s="138"/>
      <c r="AZ100" s="220">
        <f t="shared" si="4"/>
        <v>0</v>
      </c>
      <c r="BA100" s="220">
        <f t="shared" si="5"/>
        <v>0</v>
      </c>
    </row>
    <row r="101" spans="1:53" ht="50.1" customHeight="1" x14ac:dyDescent="0.25">
      <c r="A101" s="17">
        <f t="shared" si="6"/>
        <v>87</v>
      </c>
      <c r="B101" s="228"/>
      <c r="C101" s="221"/>
      <c r="D101" s="88"/>
      <c r="E101" s="100"/>
      <c r="F101" s="95"/>
      <c r="G101" s="114"/>
      <c r="H101" s="96"/>
      <c r="I101" s="97"/>
      <c r="J101" s="98"/>
      <c r="K101" s="101"/>
      <c r="L101" s="124"/>
      <c r="M101" s="333"/>
      <c r="N101" s="341"/>
      <c r="O101" s="190"/>
      <c r="P101" s="191"/>
      <c r="Q101" s="190"/>
      <c r="R101" s="191"/>
      <c r="S101" s="294"/>
      <c r="T101" s="300"/>
      <c r="U101" s="306"/>
      <c r="V101" s="308"/>
      <c r="W101" s="248"/>
      <c r="X101" s="342"/>
      <c r="Y101" s="337"/>
      <c r="Z101" s="123"/>
      <c r="AA101" s="83"/>
      <c r="AB101" s="123"/>
      <c r="AC101" s="83"/>
      <c r="AD101" s="123"/>
      <c r="AE101" s="83"/>
      <c r="AF101" s="123"/>
      <c r="AG101" s="243"/>
      <c r="AH101" s="33"/>
      <c r="AI101" s="245"/>
      <c r="AJ101" s="125"/>
      <c r="AK101" s="92"/>
      <c r="AL101" s="126"/>
      <c r="AM101" s="91"/>
      <c r="AN101" s="91"/>
      <c r="AO101" s="197">
        <f t="shared" si="7"/>
        <v>0</v>
      </c>
      <c r="AP101" s="126"/>
      <c r="AQ101" s="217"/>
      <c r="AR101" s="201"/>
      <c r="AS101" s="266"/>
      <c r="AT101" s="94"/>
      <c r="AU101" s="84"/>
      <c r="AV101" s="80"/>
      <c r="AW101" s="81"/>
      <c r="AX101" s="77"/>
      <c r="AY101" s="107"/>
      <c r="AZ101" s="220">
        <f t="shared" si="4"/>
        <v>0</v>
      </c>
      <c r="BA101" s="220">
        <f t="shared" si="5"/>
        <v>0</v>
      </c>
    </row>
    <row r="102" spans="1:53" ht="50.1" customHeight="1" x14ac:dyDescent="0.25">
      <c r="A102" s="17">
        <f t="shared" si="6"/>
        <v>88</v>
      </c>
      <c r="B102" s="229"/>
      <c r="C102" s="222"/>
      <c r="D102" s="112"/>
      <c r="E102" s="128"/>
      <c r="F102" s="183"/>
      <c r="G102" s="130"/>
      <c r="H102" s="131"/>
      <c r="I102" s="132"/>
      <c r="J102" s="189"/>
      <c r="K102" s="133"/>
      <c r="L102" s="134"/>
      <c r="M102" s="334"/>
      <c r="N102" s="343"/>
      <c r="O102" s="192"/>
      <c r="P102" s="191"/>
      <c r="Q102" s="192"/>
      <c r="R102" s="191"/>
      <c r="S102" s="295"/>
      <c r="T102" s="301"/>
      <c r="U102" s="306"/>
      <c r="V102" s="308"/>
      <c r="W102" s="249"/>
      <c r="X102" s="344"/>
      <c r="Y102" s="337"/>
      <c r="Z102" s="33"/>
      <c r="AA102" s="83"/>
      <c r="AB102" s="33"/>
      <c r="AC102" s="83"/>
      <c r="AD102" s="33"/>
      <c r="AE102" s="83"/>
      <c r="AF102" s="33"/>
      <c r="AG102" s="244"/>
      <c r="AH102" s="83"/>
      <c r="AI102" s="246"/>
      <c r="AJ102" s="102"/>
      <c r="AK102" s="92"/>
      <c r="AL102" s="91"/>
      <c r="AM102" s="92"/>
      <c r="AN102" s="351"/>
      <c r="AO102" s="197">
        <f t="shared" si="7"/>
        <v>0</v>
      </c>
      <c r="AP102" s="91"/>
      <c r="AQ102" s="217"/>
      <c r="AR102" s="83"/>
      <c r="AS102" s="267"/>
      <c r="AT102" s="94"/>
      <c r="AU102" s="84"/>
      <c r="AV102" s="136"/>
      <c r="AW102" s="81"/>
      <c r="AX102" s="137"/>
      <c r="AY102" s="138"/>
      <c r="AZ102" s="220">
        <f t="shared" si="4"/>
        <v>0</v>
      </c>
      <c r="BA102" s="220">
        <f t="shared" si="5"/>
        <v>0</v>
      </c>
    </row>
    <row r="103" spans="1:53" ht="50.1" customHeight="1" x14ac:dyDescent="0.25">
      <c r="A103" s="17">
        <f t="shared" si="6"/>
        <v>89</v>
      </c>
      <c r="B103" s="228"/>
      <c r="C103" s="221"/>
      <c r="D103" s="88"/>
      <c r="E103" s="100"/>
      <c r="F103" s="95"/>
      <c r="G103" s="114"/>
      <c r="H103" s="96"/>
      <c r="I103" s="97"/>
      <c r="J103" s="98"/>
      <c r="K103" s="101"/>
      <c r="L103" s="124"/>
      <c r="M103" s="333"/>
      <c r="N103" s="341"/>
      <c r="O103" s="190"/>
      <c r="P103" s="191"/>
      <c r="Q103" s="190"/>
      <c r="R103" s="191"/>
      <c r="S103" s="294"/>
      <c r="T103" s="300"/>
      <c r="U103" s="306"/>
      <c r="V103" s="308"/>
      <c r="W103" s="248"/>
      <c r="X103" s="342"/>
      <c r="Y103" s="337"/>
      <c r="Z103" s="123"/>
      <c r="AA103" s="83"/>
      <c r="AB103" s="123"/>
      <c r="AC103" s="83"/>
      <c r="AD103" s="123"/>
      <c r="AE103" s="83"/>
      <c r="AF103" s="123"/>
      <c r="AG103" s="243"/>
      <c r="AH103" s="33"/>
      <c r="AI103" s="245"/>
      <c r="AJ103" s="125"/>
      <c r="AK103" s="92"/>
      <c r="AL103" s="126"/>
      <c r="AM103" s="91"/>
      <c r="AN103" s="91"/>
      <c r="AO103" s="197">
        <f t="shared" si="7"/>
        <v>0</v>
      </c>
      <c r="AP103" s="126"/>
      <c r="AQ103" s="217"/>
      <c r="AR103" s="123"/>
      <c r="AS103" s="268"/>
      <c r="AT103" s="94"/>
      <c r="AU103" s="84"/>
      <c r="AV103" s="80"/>
      <c r="AW103" s="81"/>
      <c r="AX103" s="77"/>
      <c r="AY103" s="107"/>
      <c r="AZ103" s="220">
        <f t="shared" si="4"/>
        <v>0</v>
      </c>
      <c r="BA103" s="220">
        <f t="shared" si="5"/>
        <v>0</v>
      </c>
    </row>
    <row r="104" spans="1:53" ht="50.1" customHeight="1" x14ac:dyDescent="0.25">
      <c r="A104" s="17">
        <f t="shared" si="6"/>
        <v>90</v>
      </c>
      <c r="B104" s="229"/>
      <c r="C104" s="222"/>
      <c r="D104" s="112"/>
      <c r="E104" s="128"/>
      <c r="F104" s="183"/>
      <c r="G104" s="130"/>
      <c r="H104" s="131"/>
      <c r="I104" s="132"/>
      <c r="J104" s="189"/>
      <c r="K104" s="133"/>
      <c r="L104" s="134"/>
      <c r="M104" s="334"/>
      <c r="N104" s="343"/>
      <c r="O104" s="192"/>
      <c r="P104" s="191"/>
      <c r="Q104" s="192"/>
      <c r="R104" s="191"/>
      <c r="S104" s="295"/>
      <c r="T104" s="301"/>
      <c r="U104" s="306"/>
      <c r="V104" s="308"/>
      <c r="W104" s="249"/>
      <c r="X104" s="344"/>
      <c r="Y104" s="337"/>
      <c r="Z104" s="33"/>
      <c r="AA104" s="83"/>
      <c r="AB104" s="33"/>
      <c r="AC104" s="83"/>
      <c r="AD104" s="33"/>
      <c r="AE104" s="83"/>
      <c r="AF104" s="33"/>
      <c r="AG104" s="244"/>
      <c r="AH104" s="83"/>
      <c r="AI104" s="246"/>
      <c r="AJ104" s="102"/>
      <c r="AK104" s="92"/>
      <c r="AL104" s="91"/>
      <c r="AM104" s="92"/>
      <c r="AN104" s="351"/>
      <c r="AO104" s="197">
        <f t="shared" si="7"/>
        <v>0</v>
      </c>
      <c r="AP104" s="91"/>
      <c r="AQ104" s="217"/>
      <c r="AR104" s="83"/>
      <c r="AS104" s="267"/>
      <c r="AT104" s="94"/>
      <c r="AU104" s="84"/>
      <c r="AV104" s="136"/>
      <c r="AW104" s="81"/>
      <c r="AX104" s="137"/>
      <c r="AY104" s="138"/>
      <c r="AZ104" s="220">
        <f t="shared" si="4"/>
        <v>0</v>
      </c>
      <c r="BA104" s="220">
        <f t="shared" si="5"/>
        <v>0</v>
      </c>
    </row>
    <row r="105" spans="1:53" ht="50.1" customHeight="1" x14ac:dyDescent="0.25">
      <c r="A105" s="17">
        <f t="shared" si="6"/>
        <v>91</v>
      </c>
      <c r="B105" s="228"/>
      <c r="C105" s="221"/>
      <c r="D105" s="88"/>
      <c r="E105" s="100"/>
      <c r="F105" s="95"/>
      <c r="G105" s="114"/>
      <c r="H105" s="96"/>
      <c r="I105" s="97"/>
      <c r="J105" s="98"/>
      <c r="K105" s="101"/>
      <c r="L105" s="124"/>
      <c r="M105" s="333"/>
      <c r="N105" s="346"/>
      <c r="O105" s="190"/>
      <c r="P105" s="191"/>
      <c r="Q105" s="190"/>
      <c r="R105" s="191"/>
      <c r="S105" s="294"/>
      <c r="T105" s="300"/>
      <c r="U105" s="306"/>
      <c r="V105" s="308"/>
      <c r="W105" s="248"/>
      <c r="X105" s="342"/>
      <c r="Y105" s="337"/>
      <c r="Z105" s="123"/>
      <c r="AA105" s="83"/>
      <c r="AB105" s="123"/>
      <c r="AC105" s="83"/>
      <c r="AD105" s="123"/>
      <c r="AE105" s="83"/>
      <c r="AF105" s="123"/>
      <c r="AG105" s="243"/>
      <c r="AH105" s="33"/>
      <c r="AI105" s="245"/>
      <c r="AJ105" s="125"/>
      <c r="AK105" s="92"/>
      <c r="AL105" s="126"/>
      <c r="AM105" s="91"/>
      <c r="AN105" s="91"/>
      <c r="AO105" s="197">
        <f t="shared" si="7"/>
        <v>0</v>
      </c>
      <c r="AP105" s="126"/>
      <c r="AQ105" s="217"/>
      <c r="AR105" s="200"/>
      <c r="AS105" s="263"/>
      <c r="AT105" s="94"/>
      <c r="AU105" s="84"/>
      <c r="AV105" s="80"/>
      <c r="AW105" s="81"/>
      <c r="AX105" s="77"/>
      <c r="AY105" s="107"/>
      <c r="AZ105" s="220">
        <f t="shared" si="4"/>
        <v>0</v>
      </c>
      <c r="BA105" s="220">
        <f t="shared" si="5"/>
        <v>0</v>
      </c>
    </row>
    <row r="106" spans="1:53" ht="50.1" customHeight="1" x14ac:dyDescent="0.25">
      <c r="A106" s="17">
        <f t="shared" si="6"/>
        <v>92</v>
      </c>
      <c r="B106" s="229"/>
      <c r="C106" s="222"/>
      <c r="D106" s="112"/>
      <c r="E106" s="128"/>
      <c r="F106" s="183"/>
      <c r="G106" s="130"/>
      <c r="H106" s="131"/>
      <c r="I106" s="132"/>
      <c r="J106" s="189"/>
      <c r="K106" s="133"/>
      <c r="L106" s="134"/>
      <c r="M106" s="334"/>
      <c r="N106" s="343"/>
      <c r="O106" s="192"/>
      <c r="P106" s="191"/>
      <c r="Q106" s="192"/>
      <c r="R106" s="191"/>
      <c r="S106" s="295"/>
      <c r="T106" s="301"/>
      <c r="U106" s="306"/>
      <c r="V106" s="308"/>
      <c r="W106" s="249"/>
      <c r="X106" s="344"/>
      <c r="Y106" s="337"/>
      <c r="Z106" s="33"/>
      <c r="AA106" s="83"/>
      <c r="AB106" s="33"/>
      <c r="AC106" s="83"/>
      <c r="AD106" s="33"/>
      <c r="AE106" s="83"/>
      <c r="AF106" s="33"/>
      <c r="AG106" s="244"/>
      <c r="AH106" s="83"/>
      <c r="AI106" s="246"/>
      <c r="AJ106" s="102"/>
      <c r="AK106" s="92"/>
      <c r="AL106" s="91"/>
      <c r="AM106" s="92"/>
      <c r="AN106" s="351"/>
      <c r="AO106" s="197">
        <f t="shared" si="7"/>
        <v>0</v>
      </c>
      <c r="AP106" s="91"/>
      <c r="AQ106" s="217"/>
      <c r="AR106" s="103"/>
      <c r="AS106" s="264"/>
      <c r="AT106" s="94"/>
      <c r="AU106" s="84"/>
      <c r="AV106" s="136"/>
      <c r="AW106" s="81"/>
      <c r="AX106" s="137"/>
      <c r="AY106" s="138"/>
      <c r="AZ106" s="220">
        <f t="shared" si="4"/>
        <v>0</v>
      </c>
      <c r="BA106" s="220">
        <f t="shared" si="5"/>
        <v>0</v>
      </c>
    </row>
    <row r="107" spans="1:53" ht="50.1" customHeight="1" x14ac:dyDescent="0.25">
      <c r="A107" s="17">
        <f t="shared" si="6"/>
        <v>93</v>
      </c>
      <c r="B107" s="228"/>
      <c r="C107" s="221"/>
      <c r="D107" s="88"/>
      <c r="E107" s="100"/>
      <c r="F107" s="95"/>
      <c r="G107" s="114"/>
      <c r="H107" s="96"/>
      <c r="I107" s="97"/>
      <c r="J107" s="98"/>
      <c r="K107" s="101"/>
      <c r="L107" s="124"/>
      <c r="M107" s="333"/>
      <c r="N107" s="341"/>
      <c r="O107" s="190"/>
      <c r="P107" s="191"/>
      <c r="Q107" s="190"/>
      <c r="R107" s="191"/>
      <c r="S107" s="294"/>
      <c r="T107" s="300"/>
      <c r="U107" s="306"/>
      <c r="V107" s="308"/>
      <c r="W107" s="248"/>
      <c r="X107" s="342"/>
      <c r="Y107" s="337"/>
      <c r="Z107" s="123"/>
      <c r="AA107" s="83"/>
      <c r="AB107" s="123"/>
      <c r="AC107" s="83"/>
      <c r="AD107" s="123"/>
      <c r="AE107" s="83"/>
      <c r="AF107" s="123"/>
      <c r="AG107" s="243"/>
      <c r="AH107" s="33"/>
      <c r="AI107" s="245"/>
      <c r="AJ107" s="125"/>
      <c r="AK107" s="92"/>
      <c r="AL107" s="126"/>
      <c r="AM107" s="91"/>
      <c r="AN107" s="91"/>
      <c r="AO107" s="197">
        <f t="shared" si="7"/>
        <v>0</v>
      </c>
      <c r="AP107" s="126"/>
      <c r="AQ107" s="217"/>
      <c r="AR107" s="201"/>
      <c r="AS107" s="266"/>
      <c r="AT107" s="94"/>
      <c r="AU107" s="84"/>
      <c r="AV107" s="80"/>
      <c r="AW107" s="81"/>
      <c r="AX107" s="77"/>
      <c r="AY107" s="107"/>
      <c r="AZ107" s="220">
        <f t="shared" si="4"/>
        <v>0</v>
      </c>
      <c r="BA107" s="220">
        <f t="shared" si="5"/>
        <v>0</v>
      </c>
    </row>
    <row r="108" spans="1:53" ht="50.1" customHeight="1" x14ac:dyDescent="0.25">
      <c r="A108" s="17">
        <f t="shared" si="6"/>
        <v>94</v>
      </c>
      <c r="B108" s="229"/>
      <c r="C108" s="222"/>
      <c r="D108" s="112"/>
      <c r="E108" s="128"/>
      <c r="F108" s="183"/>
      <c r="G108" s="130"/>
      <c r="H108" s="131"/>
      <c r="I108" s="132"/>
      <c r="J108" s="189"/>
      <c r="K108" s="133"/>
      <c r="L108" s="134"/>
      <c r="M108" s="334"/>
      <c r="N108" s="343"/>
      <c r="O108" s="192"/>
      <c r="P108" s="191"/>
      <c r="Q108" s="192"/>
      <c r="R108" s="191"/>
      <c r="S108" s="295"/>
      <c r="T108" s="301"/>
      <c r="U108" s="306"/>
      <c r="V108" s="308"/>
      <c r="W108" s="249"/>
      <c r="X108" s="344"/>
      <c r="Y108" s="337"/>
      <c r="Z108" s="33"/>
      <c r="AA108" s="83"/>
      <c r="AB108" s="33"/>
      <c r="AC108" s="83"/>
      <c r="AD108" s="33"/>
      <c r="AE108" s="83"/>
      <c r="AF108" s="33"/>
      <c r="AG108" s="244"/>
      <c r="AH108" s="83"/>
      <c r="AI108" s="246"/>
      <c r="AJ108" s="102"/>
      <c r="AK108" s="92"/>
      <c r="AL108" s="91"/>
      <c r="AM108" s="92"/>
      <c r="AN108" s="351"/>
      <c r="AO108" s="197">
        <f t="shared" si="7"/>
        <v>0</v>
      </c>
      <c r="AP108" s="91"/>
      <c r="AQ108" s="217"/>
      <c r="AR108" s="103"/>
      <c r="AS108" s="264"/>
      <c r="AT108" s="94"/>
      <c r="AU108" s="84"/>
      <c r="AV108" s="136"/>
      <c r="AW108" s="81"/>
      <c r="AX108" s="137"/>
      <c r="AY108" s="138"/>
      <c r="AZ108" s="220">
        <f t="shared" si="4"/>
        <v>0</v>
      </c>
      <c r="BA108" s="220">
        <f t="shared" si="5"/>
        <v>0</v>
      </c>
    </row>
    <row r="109" spans="1:53" ht="50.1" customHeight="1" x14ac:dyDescent="0.25">
      <c r="A109" s="17">
        <f t="shared" si="6"/>
        <v>95</v>
      </c>
      <c r="B109" s="228"/>
      <c r="C109" s="221"/>
      <c r="D109" s="88"/>
      <c r="E109" s="100"/>
      <c r="F109" s="95"/>
      <c r="G109" s="114"/>
      <c r="H109" s="96"/>
      <c r="I109" s="97"/>
      <c r="J109" s="98"/>
      <c r="K109" s="101"/>
      <c r="L109" s="124"/>
      <c r="M109" s="333"/>
      <c r="N109" s="341"/>
      <c r="O109" s="190"/>
      <c r="P109" s="191"/>
      <c r="Q109" s="190"/>
      <c r="R109" s="191"/>
      <c r="S109" s="294"/>
      <c r="T109" s="300"/>
      <c r="U109" s="306"/>
      <c r="V109" s="308"/>
      <c r="W109" s="248"/>
      <c r="X109" s="342"/>
      <c r="Y109" s="337"/>
      <c r="Z109" s="123"/>
      <c r="AA109" s="83"/>
      <c r="AB109" s="123"/>
      <c r="AC109" s="83"/>
      <c r="AD109" s="123"/>
      <c r="AE109" s="83"/>
      <c r="AF109" s="123"/>
      <c r="AG109" s="243"/>
      <c r="AH109" s="33"/>
      <c r="AI109" s="245"/>
      <c r="AJ109" s="125"/>
      <c r="AK109" s="92"/>
      <c r="AL109" s="126"/>
      <c r="AM109" s="91"/>
      <c r="AN109" s="91"/>
      <c r="AO109" s="197">
        <f t="shared" si="7"/>
        <v>0</v>
      </c>
      <c r="AP109" s="126"/>
      <c r="AQ109" s="217"/>
      <c r="AR109" s="200"/>
      <c r="AS109" s="263"/>
      <c r="AT109" s="94"/>
      <c r="AU109" s="84"/>
      <c r="AV109" s="80"/>
      <c r="AW109" s="81"/>
      <c r="AX109" s="77"/>
      <c r="AY109" s="107"/>
      <c r="AZ109" s="220">
        <f t="shared" si="4"/>
        <v>0</v>
      </c>
      <c r="BA109" s="220">
        <f t="shared" si="5"/>
        <v>0</v>
      </c>
    </row>
    <row r="110" spans="1:53" ht="50.1" customHeight="1" x14ac:dyDescent="0.25">
      <c r="A110" s="17">
        <f t="shared" si="6"/>
        <v>96</v>
      </c>
      <c r="B110" s="229"/>
      <c r="C110" s="222"/>
      <c r="D110" s="112"/>
      <c r="E110" s="128"/>
      <c r="F110" s="183"/>
      <c r="G110" s="130"/>
      <c r="H110" s="131"/>
      <c r="I110" s="132"/>
      <c r="J110" s="189"/>
      <c r="K110" s="133"/>
      <c r="L110" s="134"/>
      <c r="M110" s="334"/>
      <c r="N110" s="343"/>
      <c r="O110" s="192"/>
      <c r="P110" s="191"/>
      <c r="Q110" s="192"/>
      <c r="R110" s="191"/>
      <c r="S110" s="295"/>
      <c r="T110" s="301"/>
      <c r="U110" s="306"/>
      <c r="V110" s="308"/>
      <c r="W110" s="249"/>
      <c r="X110" s="344"/>
      <c r="Y110" s="337"/>
      <c r="Z110" s="33"/>
      <c r="AA110" s="83"/>
      <c r="AB110" s="33"/>
      <c r="AC110" s="83"/>
      <c r="AD110" s="33"/>
      <c r="AE110" s="83"/>
      <c r="AF110" s="33"/>
      <c r="AG110" s="244"/>
      <c r="AH110" s="83"/>
      <c r="AI110" s="246"/>
      <c r="AJ110" s="102"/>
      <c r="AK110" s="92"/>
      <c r="AL110" s="91"/>
      <c r="AM110" s="92"/>
      <c r="AN110" s="351"/>
      <c r="AO110" s="197">
        <f t="shared" si="7"/>
        <v>0</v>
      </c>
      <c r="AP110" s="91"/>
      <c r="AQ110" s="217"/>
      <c r="AR110" s="103"/>
      <c r="AS110" s="264"/>
      <c r="AT110" s="94"/>
      <c r="AU110" s="84"/>
      <c r="AV110" s="136"/>
      <c r="AW110" s="81"/>
      <c r="AX110" s="137"/>
      <c r="AY110" s="138"/>
      <c r="AZ110" s="220">
        <f t="shared" si="4"/>
        <v>0</v>
      </c>
      <c r="BA110" s="220">
        <f t="shared" si="5"/>
        <v>0</v>
      </c>
    </row>
    <row r="111" spans="1:53" ht="50.1" customHeight="1" x14ac:dyDescent="0.25">
      <c r="A111" s="17">
        <f t="shared" si="6"/>
        <v>97</v>
      </c>
      <c r="B111" s="228"/>
      <c r="C111" s="221"/>
      <c r="D111" s="88"/>
      <c r="E111" s="100"/>
      <c r="F111" s="95"/>
      <c r="G111" s="114"/>
      <c r="H111" s="96"/>
      <c r="I111" s="97"/>
      <c r="J111" s="98"/>
      <c r="K111" s="101"/>
      <c r="L111" s="124"/>
      <c r="M111" s="333"/>
      <c r="N111" s="341"/>
      <c r="O111" s="190"/>
      <c r="P111" s="191"/>
      <c r="Q111" s="190"/>
      <c r="R111" s="191"/>
      <c r="S111" s="294"/>
      <c r="T111" s="300"/>
      <c r="U111" s="306"/>
      <c r="V111" s="308"/>
      <c r="W111" s="248"/>
      <c r="X111" s="342"/>
      <c r="Y111" s="337"/>
      <c r="Z111" s="123"/>
      <c r="AA111" s="83"/>
      <c r="AB111" s="123"/>
      <c r="AC111" s="83"/>
      <c r="AD111" s="123"/>
      <c r="AE111" s="83"/>
      <c r="AF111" s="123"/>
      <c r="AG111" s="243"/>
      <c r="AH111" s="33"/>
      <c r="AI111" s="245"/>
      <c r="AJ111" s="125"/>
      <c r="AK111" s="92"/>
      <c r="AL111" s="126"/>
      <c r="AM111" s="91"/>
      <c r="AN111" s="91"/>
      <c r="AO111" s="197">
        <f t="shared" si="7"/>
        <v>0</v>
      </c>
      <c r="AP111" s="126"/>
      <c r="AQ111" s="217"/>
      <c r="AR111" s="200"/>
      <c r="AS111" s="263"/>
      <c r="AT111" s="94"/>
      <c r="AU111" s="84"/>
      <c r="AV111" s="80"/>
      <c r="AW111" s="81"/>
      <c r="AX111" s="77"/>
      <c r="AY111" s="107"/>
      <c r="AZ111" s="220">
        <f t="shared" si="4"/>
        <v>0</v>
      </c>
      <c r="BA111" s="220">
        <f t="shared" si="5"/>
        <v>0</v>
      </c>
    </row>
    <row r="112" spans="1:53" ht="50.1" customHeight="1" x14ac:dyDescent="0.25">
      <c r="A112" s="17">
        <f t="shared" si="6"/>
        <v>98</v>
      </c>
      <c r="B112" s="229"/>
      <c r="C112" s="222"/>
      <c r="D112" s="112"/>
      <c r="E112" s="128"/>
      <c r="F112" s="183"/>
      <c r="G112" s="130"/>
      <c r="H112" s="131"/>
      <c r="I112" s="132"/>
      <c r="J112" s="189"/>
      <c r="K112" s="133"/>
      <c r="L112" s="134"/>
      <c r="M112" s="334"/>
      <c r="N112" s="343"/>
      <c r="O112" s="192"/>
      <c r="P112" s="191"/>
      <c r="Q112" s="192"/>
      <c r="R112" s="191"/>
      <c r="S112" s="295"/>
      <c r="T112" s="301"/>
      <c r="U112" s="306"/>
      <c r="V112" s="308"/>
      <c r="W112" s="249"/>
      <c r="X112" s="344"/>
      <c r="Y112" s="337"/>
      <c r="Z112" s="33"/>
      <c r="AA112" s="83"/>
      <c r="AB112" s="33"/>
      <c r="AC112" s="83"/>
      <c r="AD112" s="33"/>
      <c r="AE112" s="83"/>
      <c r="AF112" s="33"/>
      <c r="AG112" s="244"/>
      <c r="AH112" s="83"/>
      <c r="AI112" s="246"/>
      <c r="AJ112" s="102"/>
      <c r="AK112" s="92"/>
      <c r="AL112" s="91"/>
      <c r="AM112" s="92"/>
      <c r="AN112" s="351"/>
      <c r="AO112" s="197">
        <f t="shared" si="7"/>
        <v>0</v>
      </c>
      <c r="AP112" s="91"/>
      <c r="AQ112" s="217"/>
      <c r="AR112" s="103"/>
      <c r="AS112" s="264"/>
      <c r="AT112" s="94"/>
      <c r="AU112" s="84"/>
      <c r="AV112" s="136"/>
      <c r="AW112" s="81"/>
      <c r="AX112" s="137"/>
      <c r="AY112" s="138"/>
      <c r="AZ112" s="220">
        <f t="shared" si="4"/>
        <v>0</v>
      </c>
      <c r="BA112" s="220">
        <f t="shared" si="5"/>
        <v>0</v>
      </c>
    </row>
    <row r="113" spans="1:53" ht="50.1" customHeight="1" x14ac:dyDescent="0.25">
      <c r="A113" s="17">
        <f t="shared" si="6"/>
        <v>99</v>
      </c>
      <c r="B113" s="228"/>
      <c r="C113" s="221"/>
      <c r="D113" s="88"/>
      <c r="E113" s="100"/>
      <c r="F113" s="95"/>
      <c r="G113" s="114"/>
      <c r="H113" s="96"/>
      <c r="I113" s="97"/>
      <c r="J113" s="98"/>
      <c r="K113" s="101"/>
      <c r="L113" s="124"/>
      <c r="M113" s="333"/>
      <c r="N113" s="341"/>
      <c r="O113" s="190"/>
      <c r="P113" s="191"/>
      <c r="Q113" s="190"/>
      <c r="R113" s="191"/>
      <c r="S113" s="294"/>
      <c r="T113" s="300"/>
      <c r="U113" s="306"/>
      <c r="V113" s="308"/>
      <c r="W113" s="248"/>
      <c r="X113" s="342"/>
      <c r="Y113" s="337"/>
      <c r="Z113" s="123"/>
      <c r="AA113" s="83"/>
      <c r="AB113" s="123"/>
      <c r="AC113" s="83"/>
      <c r="AD113" s="123"/>
      <c r="AE113" s="83"/>
      <c r="AF113" s="123"/>
      <c r="AG113" s="243"/>
      <c r="AH113" s="33"/>
      <c r="AI113" s="245"/>
      <c r="AJ113" s="125"/>
      <c r="AK113" s="92"/>
      <c r="AL113" s="126"/>
      <c r="AM113" s="91"/>
      <c r="AN113" s="91"/>
      <c r="AO113" s="197">
        <f t="shared" si="7"/>
        <v>0</v>
      </c>
      <c r="AP113" s="126"/>
      <c r="AQ113" s="217"/>
      <c r="AR113" s="201"/>
      <c r="AS113" s="266"/>
      <c r="AT113" s="94"/>
      <c r="AU113" s="84"/>
      <c r="AV113" s="80"/>
      <c r="AW113" s="81"/>
      <c r="AX113" s="77"/>
      <c r="AY113" s="107"/>
      <c r="AZ113" s="220">
        <f t="shared" si="4"/>
        <v>0</v>
      </c>
      <c r="BA113" s="220">
        <f t="shared" si="5"/>
        <v>0</v>
      </c>
    </row>
    <row r="114" spans="1:53" ht="50.1" customHeight="1" x14ac:dyDescent="0.25">
      <c r="A114" s="17">
        <f t="shared" si="6"/>
        <v>100</v>
      </c>
      <c r="B114" s="229"/>
      <c r="C114" s="222"/>
      <c r="D114" s="112"/>
      <c r="E114" s="128"/>
      <c r="F114" s="183"/>
      <c r="G114" s="130"/>
      <c r="H114" s="131"/>
      <c r="I114" s="132"/>
      <c r="J114" s="189"/>
      <c r="K114" s="133"/>
      <c r="L114" s="134"/>
      <c r="M114" s="334"/>
      <c r="N114" s="343"/>
      <c r="O114" s="192"/>
      <c r="P114" s="191"/>
      <c r="Q114" s="192"/>
      <c r="R114" s="191"/>
      <c r="S114" s="295"/>
      <c r="T114" s="301"/>
      <c r="U114" s="306"/>
      <c r="V114" s="308"/>
      <c r="W114" s="249"/>
      <c r="X114" s="344"/>
      <c r="Y114" s="337"/>
      <c r="Z114" s="33"/>
      <c r="AA114" s="83"/>
      <c r="AB114" s="33"/>
      <c r="AC114" s="83"/>
      <c r="AD114" s="33"/>
      <c r="AE114" s="83"/>
      <c r="AF114" s="33"/>
      <c r="AG114" s="244"/>
      <c r="AH114" s="83"/>
      <c r="AI114" s="246"/>
      <c r="AJ114" s="102"/>
      <c r="AK114" s="92"/>
      <c r="AL114" s="91"/>
      <c r="AM114" s="92"/>
      <c r="AN114" s="351"/>
      <c r="AO114" s="197">
        <f t="shared" si="7"/>
        <v>0</v>
      </c>
      <c r="AP114" s="91"/>
      <c r="AQ114" s="217"/>
      <c r="AR114" s="103"/>
      <c r="AS114" s="264"/>
      <c r="AT114" s="94"/>
      <c r="AU114" s="84"/>
      <c r="AV114" s="136"/>
      <c r="AW114" s="81"/>
      <c r="AX114" s="137"/>
      <c r="AY114" s="138"/>
      <c r="AZ114" s="220">
        <f t="shared" si="4"/>
        <v>0</v>
      </c>
      <c r="BA114" s="220">
        <f t="shared" si="5"/>
        <v>0</v>
      </c>
    </row>
    <row r="115" spans="1:53" ht="50.1" customHeight="1" x14ac:dyDescent="0.25">
      <c r="A115" s="17">
        <f t="shared" si="6"/>
        <v>101</v>
      </c>
      <c r="B115" s="228"/>
      <c r="C115" s="221"/>
      <c r="D115" s="88"/>
      <c r="E115" s="100"/>
      <c r="F115" s="95"/>
      <c r="G115" s="114"/>
      <c r="H115" s="96"/>
      <c r="I115" s="97"/>
      <c r="J115" s="98"/>
      <c r="K115" s="101"/>
      <c r="L115" s="124"/>
      <c r="M115" s="333"/>
      <c r="N115" s="341"/>
      <c r="O115" s="190"/>
      <c r="P115" s="191"/>
      <c r="Q115" s="190"/>
      <c r="R115" s="191"/>
      <c r="S115" s="294"/>
      <c r="T115" s="300"/>
      <c r="U115" s="306"/>
      <c r="V115" s="308"/>
      <c r="W115" s="248"/>
      <c r="X115" s="342"/>
      <c r="Y115" s="337"/>
      <c r="Z115" s="123"/>
      <c r="AA115" s="83"/>
      <c r="AB115" s="123"/>
      <c r="AC115" s="83"/>
      <c r="AD115" s="123"/>
      <c r="AE115" s="83"/>
      <c r="AF115" s="123"/>
      <c r="AG115" s="243"/>
      <c r="AH115" s="33"/>
      <c r="AI115" s="245"/>
      <c r="AJ115" s="125"/>
      <c r="AK115" s="92"/>
      <c r="AL115" s="126"/>
      <c r="AM115" s="91"/>
      <c r="AN115" s="91"/>
      <c r="AO115" s="197">
        <f t="shared" si="7"/>
        <v>0</v>
      </c>
      <c r="AP115" s="126"/>
      <c r="AQ115" s="217"/>
      <c r="AR115" s="200"/>
      <c r="AS115" s="263"/>
      <c r="AT115" s="94"/>
      <c r="AU115" s="84"/>
      <c r="AV115" s="80"/>
      <c r="AW115" s="81"/>
      <c r="AX115" s="77"/>
      <c r="AY115" s="107"/>
      <c r="AZ115" s="220">
        <f t="shared" si="4"/>
        <v>0</v>
      </c>
      <c r="BA115" s="220">
        <f t="shared" si="5"/>
        <v>0</v>
      </c>
    </row>
    <row r="116" spans="1:53" ht="50.1" customHeight="1" x14ac:dyDescent="0.25">
      <c r="A116" s="17">
        <f t="shared" si="6"/>
        <v>102</v>
      </c>
      <c r="B116" s="229"/>
      <c r="C116" s="222"/>
      <c r="D116" s="112"/>
      <c r="E116" s="128"/>
      <c r="F116" s="183"/>
      <c r="G116" s="130"/>
      <c r="H116" s="131"/>
      <c r="I116" s="132"/>
      <c r="J116" s="189"/>
      <c r="K116" s="133"/>
      <c r="L116" s="134"/>
      <c r="M116" s="334"/>
      <c r="N116" s="343"/>
      <c r="O116" s="192"/>
      <c r="P116" s="191"/>
      <c r="Q116" s="192"/>
      <c r="R116" s="191"/>
      <c r="S116" s="295"/>
      <c r="T116" s="301"/>
      <c r="U116" s="306"/>
      <c r="V116" s="308"/>
      <c r="W116" s="249"/>
      <c r="X116" s="344"/>
      <c r="Y116" s="337"/>
      <c r="Z116" s="33"/>
      <c r="AA116" s="83"/>
      <c r="AB116" s="33"/>
      <c r="AC116" s="83"/>
      <c r="AD116" s="33"/>
      <c r="AE116" s="83"/>
      <c r="AF116" s="33"/>
      <c r="AG116" s="244"/>
      <c r="AH116" s="83"/>
      <c r="AI116" s="246"/>
      <c r="AJ116" s="102"/>
      <c r="AK116" s="92"/>
      <c r="AL116" s="91"/>
      <c r="AM116" s="92"/>
      <c r="AN116" s="351"/>
      <c r="AO116" s="197">
        <f t="shared" si="7"/>
        <v>0</v>
      </c>
      <c r="AP116" s="91"/>
      <c r="AQ116" s="217"/>
      <c r="AR116" s="103"/>
      <c r="AS116" s="264"/>
      <c r="AT116" s="94"/>
      <c r="AU116" s="84"/>
      <c r="AV116" s="136"/>
      <c r="AW116" s="81"/>
      <c r="AX116" s="137"/>
      <c r="AY116" s="138"/>
      <c r="AZ116" s="220">
        <f t="shared" si="4"/>
        <v>0</v>
      </c>
      <c r="BA116" s="220">
        <f t="shared" si="5"/>
        <v>0</v>
      </c>
    </row>
    <row r="117" spans="1:53" ht="50.1" customHeight="1" x14ac:dyDescent="0.25">
      <c r="A117" s="17">
        <f t="shared" si="6"/>
        <v>103</v>
      </c>
      <c r="B117" s="228"/>
      <c r="C117" s="221"/>
      <c r="D117" s="88"/>
      <c r="E117" s="100"/>
      <c r="F117" s="95"/>
      <c r="G117" s="114"/>
      <c r="H117" s="96"/>
      <c r="I117" s="97"/>
      <c r="J117" s="98"/>
      <c r="K117" s="101"/>
      <c r="L117" s="124"/>
      <c r="M117" s="333"/>
      <c r="N117" s="341"/>
      <c r="O117" s="190"/>
      <c r="P117" s="191"/>
      <c r="Q117" s="190"/>
      <c r="R117" s="191"/>
      <c r="S117" s="294"/>
      <c r="T117" s="300"/>
      <c r="U117" s="306"/>
      <c r="V117" s="308"/>
      <c r="W117" s="248"/>
      <c r="X117" s="342"/>
      <c r="Y117" s="337"/>
      <c r="Z117" s="123"/>
      <c r="AA117" s="83"/>
      <c r="AB117" s="123"/>
      <c r="AC117" s="83"/>
      <c r="AD117" s="123"/>
      <c r="AE117" s="83"/>
      <c r="AF117" s="123"/>
      <c r="AG117" s="243"/>
      <c r="AH117" s="33"/>
      <c r="AI117" s="245"/>
      <c r="AJ117" s="125"/>
      <c r="AK117" s="92"/>
      <c r="AL117" s="126"/>
      <c r="AM117" s="91"/>
      <c r="AN117" s="91"/>
      <c r="AO117" s="197">
        <f t="shared" si="7"/>
        <v>0</v>
      </c>
      <c r="AP117" s="126"/>
      <c r="AQ117" s="217"/>
      <c r="AR117" s="200"/>
      <c r="AS117" s="263"/>
      <c r="AT117" s="94"/>
      <c r="AU117" s="84"/>
      <c r="AV117" s="80"/>
      <c r="AW117" s="81"/>
      <c r="AX117" s="77"/>
      <c r="AY117" s="107"/>
      <c r="AZ117" s="220">
        <f t="shared" si="4"/>
        <v>0</v>
      </c>
      <c r="BA117" s="220">
        <f t="shared" si="5"/>
        <v>0</v>
      </c>
    </row>
    <row r="118" spans="1:53" ht="50.1" customHeight="1" x14ac:dyDescent="0.25">
      <c r="A118" s="17">
        <f t="shared" si="6"/>
        <v>104</v>
      </c>
      <c r="B118" s="229"/>
      <c r="C118" s="222"/>
      <c r="D118" s="112"/>
      <c r="E118" s="128"/>
      <c r="F118" s="183"/>
      <c r="G118" s="130"/>
      <c r="H118" s="131"/>
      <c r="I118" s="132"/>
      <c r="J118" s="189"/>
      <c r="K118" s="133"/>
      <c r="L118" s="134"/>
      <c r="M118" s="334"/>
      <c r="N118" s="343"/>
      <c r="O118" s="192"/>
      <c r="P118" s="191"/>
      <c r="Q118" s="192"/>
      <c r="R118" s="191"/>
      <c r="S118" s="295"/>
      <c r="T118" s="301"/>
      <c r="U118" s="306"/>
      <c r="V118" s="308"/>
      <c r="W118" s="249"/>
      <c r="X118" s="344"/>
      <c r="Y118" s="337"/>
      <c r="Z118" s="33"/>
      <c r="AA118" s="83"/>
      <c r="AB118" s="33"/>
      <c r="AC118" s="83"/>
      <c r="AD118" s="33"/>
      <c r="AE118" s="83"/>
      <c r="AF118" s="33"/>
      <c r="AG118" s="244"/>
      <c r="AH118" s="83"/>
      <c r="AI118" s="246"/>
      <c r="AJ118" s="102"/>
      <c r="AK118" s="92"/>
      <c r="AL118" s="91"/>
      <c r="AM118" s="92"/>
      <c r="AN118" s="351"/>
      <c r="AO118" s="197">
        <f t="shared" si="7"/>
        <v>0</v>
      </c>
      <c r="AP118" s="91"/>
      <c r="AQ118" s="217"/>
      <c r="AR118" s="103"/>
      <c r="AS118" s="264"/>
      <c r="AT118" s="94"/>
      <c r="AU118" s="84"/>
      <c r="AV118" s="136"/>
      <c r="AW118" s="81"/>
      <c r="AX118" s="137"/>
      <c r="AY118" s="138"/>
      <c r="AZ118" s="220">
        <f t="shared" si="4"/>
        <v>0</v>
      </c>
      <c r="BA118" s="220">
        <f t="shared" si="5"/>
        <v>0</v>
      </c>
    </row>
    <row r="119" spans="1:53" ht="50.1" customHeight="1" x14ac:dyDescent="0.25">
      <c r="A119" s="17">
        <f t="shared" si="6"/>
        <v>105</v>
      </c>
      <c r="B119" s="228"/>
      <c r="C119" s="221"/>
      <c r="D119" s="88"/>
      <c r="E119" s="100"/>
      <c r="F119" s="95"/>
      <c r="G119" s="114"/>
      <c r="H119" s="96"/>
      <c r="I119" s="97"/>
      <c r="J119" s="98"/>
      <c r="K119" s="101"/>
      <c r="L119" s="124"/>
      <c r="M119" s="333"/>
      <c r="N119" s="341"/>
      <c r="O119" s="190"/>
      <c r="P119" s="191"/>
      <c r="Q119" s="190"/>
      <c r="R119" s="191"/>
      <c r="S119" s="294"/>
      <c r="T119" s="300"/>
      <c r="U119" s="306"/>
      <c r="V119" s="308"/>
      <c r="W119" s="248"/>
      <c r="X119" s="342"/>
      <c r="Y119" s="337"/>
      <c r="Z119" s="123"/>
      <c r="AA119" s="83"/>
      <c r="AB119" s="123"/>
      <c r="AC119" s="83"/>
      <c r="AD119" s="123"/>
      <c r="AE119" s="83"/>
      <c r="AF119" s="123"/>
      <c r="AG119" s="243"/>
      <c r="AH119" s="33"/>
      <c r="AI119" s="245"/>
      <c r="AJ119" s="198"/>
      <c r="AK119" s="92"/>
      <c r="AL119" s="126"/>
      <c r="AM119" s="91"/>
      <c r="AN119" s="91"/>
      <c r="AO119" s="197">
        <f t="shared" si="7"/>
        <v>0</v>
      </c>
      <c r="AP119" s="126"/>
      <c r="AQ119" s="217"/>
      <c r="AR119" s="201"/>
      <c r="AS119" s="266"/>
      <c r="AT119" s="94"/>
      <c r="AU119" s="84"/>
      <c r="AV119" s="80"/>
      <c r="AW119" s="81"/>
      <c r="AX119" s="77"/>
      <c r="AY119" s="107"/>
      <c r="AZ119" s="220">
        <f t="shared" si="4"/>
        <v>0</v>
      </c>
      <c r="BA119" s="220">
        <f t="shared" si="5"/>
        <v>0</v>
      </c>
    </row>
    <row r="120" spans="1:53" ht="50.1" customHeight="1" x14ac:dyDescent="0.25">
      <c r="A120" s="17">
        <f t="shared" si="6"/>
        <v>106</v>
      </c>
      <c r="B120" s="229"/>
      <c r="C120" s="222"/>
      <c r="D120" s="112"/>
      <c r="E120" s="128"/>
      <c r="F120" s="183"/>
      <c r="G120" s="130"/>
      <c r="H120" s="131"/>
      <c r="I120" s="132"/>
      <c r="J120" s="189"/>
      <c r="K120" s="133"/>
      <c r="L120" s="134"/>
      <c r="M120" s="334"/>
      <c r="N120" s="343"/>
      <c r="O120" s="192"/>
      <c r="P120" s="191"/>
      <c r="Q120" s="192"/>
      <c r="R120" s="191"/>
      <c r="S120" s="295"/>
      <c r="T120" s="301"/>
      <c r="U120" s="306"/>
      <c r="V120" s="308"/>
      <c r="W120" s="249"/>
      <c r="X120" s="344"/>
      <c r="Y120" s="337"/>
      <c r="Z120" s="33"/>
      <c r="AA120" s="83"/>
      <c r="AB120" s="33"/>
      <c r="AC120" s="83"/>
      <c r="AD120" s="33"/>
      <c r="AE120" s="83"/>
      <c r="AF120" s="33"/>
      <c r="AG120" s="244"/>
      <c r="AH120" s="83"/>
      <c r="AI120" s="246"/>
      <c r="AJ120" s="195"/>
      <c r="AK120" s="92"/>
      <c r="AL120" s="91"/>
      <c r="AM120" s="92"/>
      <c r="AN120" s="351"/>
      <c r="AO120" s="197">
        <f t="shared" si="7"/>
        <v>0</v>
      </c>
      <c r="AP120" s="91"/>
      <c r="AQ120" s="217"/>
      <c r="AR120" s="196"/>
      <c r="AS120" s="265"/>
      <c r="AT120" s="94"/>
      <c r="AU120" s="84"/>
      <c r="AV120" s="136"/>
      <c r="AW120" s="81"/>
      <c r="AX120" s="137"/>
      <c r="AY120" s="138"/>
      <c r="AZ120" s="220">
        <f t="shared" si="4"/>
        <v>0</v>
      </c>
      <c r="BA120" s="220">
        <f t="shared" si="5"/>
        <v>0</v>
      </c>
    </row>
    <row r="121" spans="1:53" ht="50.1" customHeight="1" x14ac:dyDescent="0.25">
      <c r="A121" s="17">
        <f t="shared" si="6"/>
        <v>107</v>
      </c>
      <c r="B121" s="228"/>
      <c r="C121" s="221"/>
      <c r="D121" s="88"/>
      <c r="E121" s="100"/>
      <c r="F121" s="95"/>
      <c r="G121" s="114"/>
      <c r="H121" s="96"/>
      <c r="I121" s="97"/>
      <c r="J121" s="98"/>
      <c r="K121" s="101"/>
      <c r="L121" s="124"/>
      <c r="M121" s="333"/>
      <c r="N121" s="341"/>
      <c r="O121" s="190"/>
      <c r="P121" s="191"/>
      <c r="Q121" s="190"/>
      <c r="R121" s="191"/>
      <c r="S121" s="294"/>
      <c r="T121" s="300"/>
      <c r="U121" s="306"/>
      <c r="V121" s="308"/>
      <c r="W121" s="248"/>
      <c r="X121" s="342"/>
      <c r="Y121" s="337"/>
      <c r="Z121" s="123"/>
      <c r="AA121" s="83"/>
      <c r="AB121" s="123"/>
      <c r="AC121" s="83"/>
      <c r="AD121" s="123"/>
      <c r="AE121" s="83"/>
      <c r="AF121" s="123"/>
      <c r="AG121" s="243"/>
      <c r="AH121" s="33"/>
      <c r="AI121" s="245"/>
      <c r="AJ121" s="125"/>
      <c r="AK121" s="92"/>
      <c r="AL121" s="126"/>
      <c r="AM121" s="91"/>
      <c r="AN121" s="91"/>
      <c r="AO121" s="197">
        <f t="shared" si="7"/>
        <v>0</v>
      </c>
      <c r="AP121" s="126"/>
      <c r="AQ121" s="217"/>
      <c r="AR121" s="201"/>
      <c r="AS121" s="266"/>
      <c r="AT121" s="94"/>
      <c r="AU121" s="84"/>
      <c r="AV121" s="80"/>
      <c r="AW121" s="81"/>
      <c r="AX121" s="77"/>
      <c r="AY121" s="107"/>
      <c r="AZ121" s="220">
        <f t="shared" si="4"/>
        <v>0</v>
      </c>
      <c r="BA121" s="220">
        <f t="shared" si="5"/>
        <v>0</v>
      </c>
    </row>
    <row r="122" spans="1:53" ht="50.1" customHeight="1" x14ac:dyDescent="0.25">
      <c r="A122" s="17">
        <f t="shared" si="6"/>
        <v>108</v>
      </c>
      <c r="B122" s="229"/>
      <c r="C122" s="222"/>
      <c r="D122" s="112"/>
      <c r="E122" s="128"/>
      <c r="F122" s="183"/>
      <c r="G122" s="130"/>
      <c r="H122" s="131"/>
      <c r="I122" s="132"/>
      <c r="J122" s="189"/>
      <c r="K122" s="133"/>
      <c r="L122" s="134"/>
      <c r="M122" s="334"/>
      <c r="N122" s="343"/>
      <c r="O122" s="192"/>
      <c r="P122" s="191"/>
      <c r="Q122" s="192"/>
      <c r="R122" s="191"/>
      <c r="S122" s="295"/>
      <c r="T122" s="301"/>
      <c r="U122" s="306"/>
      <c r="V122" s="308"/>
      <c r="W122" s="249"/>
      <c r="X122" s="344"/>
      <c r="Y122" s="337"/>
      <c r="Z122" s="33"/>
      <c r="AA122" s="83"/>
      <c r="AB122" s="33"/>
      <c r="AC122" s="83"/>
      <c r="AD122" s="33"/>
      <c r="AE122" s="83"/>
      <c r="AF122" s="33"/>
      <c r="AG122" s="244"/>
      <c r="AH122" s="83"/>
      <c r="AI122" s="246"/>
      <c r="AJ122" s="102"/>
      <c r="AK122" s="92"/>
      <c r="AL122" s="91"/>
      <c r="AM122" s="92"/>
      <c r="AN122" s="351"/>
      <c r="AO122" s="197">
        <f t="shared" si="7"/>
        <v>0</v>
      </c>
      <c r="AP122" s="91"/>
      <c r="AQ122" s="217"/>
      <c r="AR122" s="196"/>
      <c r="AS122" s="265"/>
      <c r="AT122" s="94"/>
      <c r="AU122" s="84"/>
      <c r="AV122" s="136"/>
      <c r="AW122" s="81"/>
      <c r="AX122" s="137"/>
      <c r="AY122" s="138"/>
      <c r="AZ122" s="220">
        <f t="shared" si="4"/>
        <v>0</v>
      </c>
      <c r="BA122" s="220">
        <f t="shared" si="5"/>
        <v>0</v>
      </c>
    </row>
    <row r="123" spans="1:53" ht="50.1" customHeight="1" x14ac:dyDescent="0.25">
      <c r="A123" s="17">
        <f t="shared" si="6"/>
        <v>109</v>
      </c>
      <c r="B123" s="228"/>
      <c r="C123" s="221"/>
      <c r="D123" s="88"/>
      <c r="E123" s="100"/>
      <c r="F123" s="95"/>
      <c r="G123" s="114"/>
      <c r="H123" s="96"/>
      <c r="I123" s="97"/>
      <c r="J123" s="98"/>
      <c r="K123" s="101"/>
      <c r="L123" s="124"/>
      <c r="M123" s="333"/>
      <c r="N123" s="341"/>
      <c r="O123" s="190"/>
      <c r="P123" s="191"/>
      <c r="Q123" s="190"/>
      <c r="R123" s="191"/>
      <c r="S123" s="294"/>
      <c r="T123" s="300"/>
      <c r="U123" s="306"/>
      <c r="V123" s="308"/>
      <c r="W123" s="248"/>
      <c r="X123" s="342"/>
      <c r="Y123" s="337"/>
      <c r="Z123" s="123"/>
      <c r="AA123" s="83"/>
      <c r="AB123" s="123"/>
      <c r="AC123" s="83"/>
      <c r="AD123" s="123"/>
      <c r="AE123" s="83"/>
      <c r="AF123" s="123"/>
      <c r="AG123" s="243"/>
      <c r="AH123" s="33"/>
      <c r="AI123" s="245"/>
      <c r="AJ123" s="125"/>
      <c r="AK123" s="92"/>
      <c r="AL123" s="126"/>
      <c r="AM123" s="91"/>
      <c r="AN123" s="91"/>
      <c r="AO123" s="197">
        <f t="shared" si="7"/>
        <v>0</v>
      </c>
      <c r="AP123" s="126"/>
      <c r="AQ123" s="217"/>
      <c r="AR123" s="201"/>
      <c r="AS123" s="266"/>
      <c r="AT123" s="94"/>
      <c r="AU123" s="84"/>
      <c r="AV123" s="80"/>
      <c r="AW123" s="81"/>
      <c r="AX123" s="77"/>
      <c r="AY123" s="107"/>
      <c r="AZ123" s="220">
        <f t="shared" si="4"/>
        <v>0</v>
      </c>
      <c r="BA123" s="220">
        <f t="shared" si="5"/>
        <v>0</v>
      </c>
    </row>
    <row r="124" spans="1:53" ht="50.1" customHeight="1" x14ac:dyDescent="0.25">
      <c r="A124" s="17">
        <f t="shared" si="6"/>
        <v>110</v>
      </c>
      <c r="B124" s="229"/>
      <c r="C124" s="222"/>
      <c r="D124" s="112"/>
      <c r="E124" s="128"/>
      <c r="F124" s="183"/>
      <c r="G124" s="130"/>
      <c r="H124" s="131"/>
      <c r="I124" s="132"/>
      <c r="J124" s="189"/>
      <c r="K124" s="133"/>
      <c r="L124" s="134"/>
      <c r="M124" s="334"/>
      <c r="N124" s="343"/>
      <c r="O124" s="193"/>
      <c r="P124" s="191"/>
      <c r="Q124" s="193"/>
      <c r="R124" s="191"/>
      <c r="S124" s="296"/>
      <c r="T124" s="302"/>
      <c r="U124" s="306"/>
      <c r="V124" s="308"/>
      <c r="W124" s="249"/>
      <c r="X124" s="344"/>
      <c r="Y124" s="337"/>
      <c r="Z124" s="33"/>
      <c r="AA124" s="83"/>
      <c r="AB124" s="33"/>
      <c r="AC124" s="83"/>
      <c r="AD124" s="33"/>
      <c r="AE124" s="83"/>
      <c r="AF124" s="33"/>
      <c r="AG124" s="244"/>
      <c r="AH124" s="83"/>
      <c r="AI124" s="246"/>
      <c r="AJ124" s="102"/>
      <c r="AK124" s="92"/>
      <c r="AL124" s="91"/>
      <c r="AM124" s="92"/>
      <c r="AN124" s="351"/>
      <c r="AO124" s="197">
        <f t="shared" si="7"/>
        <v>0</v>
      </c>
      <c r="AP124" s="91"/>
      <c r="AQ124" s="217"/>
      <c r="AR124" s="196"/>
      <c r="AS124" s="265"/>
      <c r="AT124" s="94"/>
      <c r="AU124" s="84"/>
      <c r="AV124" s="136"/>
      <c r="AW124" s="81"/>
      <c r="AX124" s="137"/>
      <c r="AY124" s="138"/>
      <c r="AZ124" s="220">
        <f t="shared" si="4"/>
        <v>0</v>
      </c>
      <c r="BA124" s="220">
        <f t="shared" si="5"/>
        <v>0</v>
      </c>
    </row>
    <row r="125" spans="1:53" ht="50.1" customHeight="1" x14ac:dyDescent="0.25">
      <c r="A125" s="17">
        <f t="shared" si="6"/>
        <v>111</v>
      </c>
      <c r="B125" s="228"/>
      <c r="C125" s="221"/>
      <c r="D125" s="88"/>
      <c r="E125" s="100"/>
      <c r="F125" s="95"/>
      <c r="G125" s="114"/>
      <c r="H125" s="96"/>
      <c r="I125" s="97"/>
      <c r="J125" s="98"/>
      <c r="K125" s="101"/>
      <c r="L125" s="124"/>
      <c r="M125" s="333"/>
      <c r="N125" s="341"/>
      <c r="O125" s="190"/>
      <c r="P125" s="191"/>
      <c r="Q125" s="190"/>
      <c r="R125" s="191"/>
      <c r="S125" s="294"/>
      <c r="T125" s="300"/>
      <c r="U125" s="306"/>
      <c r="V125" s="308"/>
      <c r="W125" s="248"/>
      <c r="X125" s="342"/>
      <c r="Y125" s="337"/>
      <c r="Z125" s="123"/>
      <c r="AA125" s="83"/>
      <c r="AB125" s="123"/>
      <c r="AC125" s="83"/>
      <c r="AD125" s="123"/>
      <c r="AE125" s="83"/>
      <c r="AF125" s="123"/>
      <c r="AG125" s="243"/>
      <c r="AH125" s="33"/>
      <c r="AI125" s="245"/>
      <c r="AJ125" s="125"/>
      <c r="AK125" s="92"/>
      <c r="AL125" s="126"/>
      <c r="AM125" s="91"/>
      <c r="AN125" s="91"/>
      <c r="AO125" s="197">
        <f t="shared" si="7"/>
        <v>0</v>
      </c>
      <c r="AP125" s="126"/>
      <c r="AQ125" s="217"/>
      <c r="AR125" s="201"/>
      <c r="AS125" s="266"/>
      <c r="AT125" s="94"/>
      <c r="AU125" s="84"/>
      <c r="AV125" s="80"/>
      <c r="AW125" s="81"/>
      <c r="AX125" s="77"/>
      <c r="AY125" s="107"/>
      <c r="AZ125" s="220">
        <f t="shared" si="4"/>
        <v>0</v>
      </c>
      <c r="BA125" s="220">
        <f t="shared" si="5"/>
        <v>0</v>
      </c>
    </row>
    <row r="126" spans="1:53" ht="50.1" customHeight="1" x14ac:dyDescent="0.25">
      <c r="A126" s="17">
        <f t="shared" si="6"/>
        <v>112</v>
      </c>
      <c r="B126" s="229"/>
      <c r="C126" s="222"/>
      <c r="D126" s="112"/>
      <c r="E126" s="128"/>
      <c r="F126" s="183"/>
      <c r="G126" s="130"/>
      <c r="H126" s="131"/>
      <c r="I126" s="132"/>
      <c r="J126" s="189"/>
      <c r="K126" s="133"/>
      <c r="L126" s="134"/>
      <c r="M126" s="334"/>
      <c r="N126" s="343"/>
      <c r="O126" s="193"/>
      <c r="P126" s="191"/>
      <c r="Q126" s="193"/>
      <c r="R126" s="191"/>
      <c r="S126" s="296"/>
      <c r="T126" s="302"/>
      <c r="U126" s="306"/>
      <c r="V126" s="308"/>
      <c r="W126" s="249"/>
      <c r="X126" s="344"/>
      <c r="Y126" s="337"/>
      <c r="Z126" s="33"/>
      <c r="AA126" s="83"/>
      <c r="AB126" s="33"/>
      <c r="AC126" s="83"/>
      <c r="AD126" s="33"/>
      <c r="AE126" s="83"/>
      <c r="AF126" s="33"/>
      <c r="AG126" s="244"/>
      <c r="AH126" s="83"/>
      <c r="AI126" s="246"/>
      <c r="AJ126" s="102"/>
      <c r="AK126" s="92"/>
      <c r="AL126" s="91"/>
      <c r="AM126" s="92"/>
      <c r="AN126" s="351"/>
      <c r="AO126" s="197">
        <f t="shared" si="7"/>
        <v>0</v>
      </c>
      <c r="AP126" s="91"/>
      <c r="AQ126" s="217"/>
      <c r="AR126" s="196"/>
      <c r="AS126" s="265"/>
      <c r="AT126" s="94"/>
      <c r="AU126" s="84"/>
      <c r="AV126" s="136"/>
      <c r="AW126" s="81"/>
      <c r="AX126" s="137"/>
      <c r="AY126" s="138"/>
      <c r="AZ126" s="220">
        <f t="shared" si="4"/>
        <v>0</v>
      </c>
      <c r="BA126" s="220">
        <f t="shared" si="5"/>
        <v>0</v>
      </c>
    </row>
    <row r="127" spans="1:53" ht="50.1" customHeight="1" x14ac:dyDescent="0.25">
      <c r="A127" s="17">
        <f t="shared" si="6"/>
        <v>113</v>
      </c>
      <c r="B127" s="228"/>
      <c r="C127" s="221"/>
      <c r="D127" s="88"/>
      <c r="E127" s="100"/>
      <c r="F127" s="95"/>
      <c r="G127" s="114"/>
      <c r="H127" s="96"/>
      <c r="I127" s="97"/>
      <c r="J127" s="98"/>
      <c r="K127" s="101"/>
      <c r="L127" s="124"/>
      <c r="M127" s="333"/>
      <c r="N127" s="341"/>
      <c r="O127" s="190"/>
      <c r="P127" s="191"/>
      <c r="Q127" s="190"/>
      <c r="R127" s="191"/>
      <c r="S127" s="294"/>
      <c r="T127" s="300"/>
      <c r="U127" s="306"/>
      <c r="V127" s="308"/>
      <c r="W127" s="248"/>
      <c r="X127" s="342"/>
      <c r="Y127" s="337"/>
      <c r="Z127" s="123"/>
      <c r="AA127" s="83"/>
      <c r="AB127" s="123"/>
      <c r="AC127" s="83"/>
      <c r="AD127" s="123"/>
      <c r="AE127" s="83"/>
      <c r="AF127" s="123"/>
      <c r="AG127" s="243"/>
      <c r="AH127" s="33"/>
      <c r="AI127" s="245"/>
      <c r="AJ127" s="125"/>
      <c r="AK127" s="92"/>
      <c r="AL127" s="126"/>
      <c r="AM127" s="91"/>
      <c r="AN127" s="91"/>
      <c r="AO127" s="197">
        <f t="shared" si="7"/>
        <v>0</v>
      </c>
      <c r="AP127" s="126"/>
      <c r="AQ127" s="217"/>
      <c r="AR127" s="201"/>
      <c r="AS127" s="266"/>
      <c r="AT127" s="94"/>
      <c r="AU127" s="84"/>
      <c r="AV127" s="80"/>
      <c r="AW127" s="81"/>
      <c r="AX127" s="77"/>
      <c r="AY127" s="107"/>
      <c r="AZ127" s="220">
        <f t="shared" si="4"/>
        <v>0</v>
      </c>
      <c r="BA127" s="220">
        <f t="shared" si="5"/>
        <v>0</v>
      </c>
    </row>
    <row r="128" spans="1:53" ht="50.1" customHeight="1" x14ac:dyDescent="0.25">
      <c r="A128" s="17">
        <f t="shared" si="6"/>
        <v>114</v>
      </c>
      <c r="B128" s="229"/>
      <c r="C128" s="222"/>
      <c r="D128" s="112"/>
      <c r="E128" s="128"/>
      <c r="F128" s="183"/>
      <c r="G128" s="130"/>
      <c r="H128" s="131"/>
      <c r="I128" s="132"/>
      <c r="J128" s="189"/>
      <c r="K128" s="133"/>
      <c r="L128" s="134"/>
      <c r="M128" s="334"/>
      <c r="N128" s="343"/>
      <c r="O128" s="193"/>
      <c r="P128" s="191"/>
      <c r="Q128" s="193"/>
      <c r="R128" s="191"/>
      <c r="S128" s="296"/>
      <c r="T128" s="302"/>
      <c r="U128" s="306"/>
      <c r="V128" s="308"/>
      <c r="W128" s="249"/>
      <c r="X128" s="344"/>
      <c r="Y128" s="337"/>
      <c r="Z128" s="33"/>
      <c r="AA128" s="83"/>
      <c r="AB128" s="33"/>
      <c r="AC128" s="83"/>
      <c r="AD128" s="33"/>
      <c r="AE128" s="83"/>
      <c r="AF128" s="33"/>
      <c r="AG128" s="244"/>
      <c r="AH128" s="83"/>
      <c r="AI128" s="246"/>
      <c r="AJ128" s="102"/>
      <c r="AK128" s="92"/>
      <c r="AL128" s="91"/>
      <c r="AM128" s="92"/>
      <c r="AN128" s="351"/>
      <c r="AO128" s="197">
        <f t="shared" si="7"/>
        <v>0</v>
      </c>
      <c r="AP128" s="91"/>
      <c r="AQ128" s="217"/>
      <c r="AR128" s="196"/>
      <c r="AS128" s="265"/>
      <c r="AT128" s="94"/>
      <c r="AU128" s="84"/>
      <c r="AV128" s="136"/>
      <c r="AW128" s="81"/>
      <c r="AX128" s="137"/>
      <c r="AY128" s="138"/>
      <c r="AZ128" s="220">
        <f t="shared" si="4"/>
        <v>0</v>
      </c>
      <c r="BA128" s="220">
        <f t="shared" si="5"/>
        <v>0</v>
      </c>
    </row>
    <row r="129" spans="1:53" ht="50.1" customHeight="1" x14ac:dyDescent="0.25">
      <c r="A129" s="17">
        <f t="shared" si="6"/>
        <v>115</v>
      </c>
      <c r="B129" s="228"/>
      <c r="C129" s="221"/>
      <c r="D129" s="88"/>
      <c r="E129" s="100"/>
      <c r="F129" s="95"/>
      <c r="G129" s="114"/>
      <c r="H129" s="96"/>
      <c r="I129" s="97"/>
      <c r="J129" s="98"/>
      <c r="K129" s="101"/>
      <c r="L129" s="124"/>
      <c r="M129" s="333"/>
      <c r="N129" s="341"/>
      <c r="O129" s="190"/>
      <c r="P129" s="191"/>
      <c r="Q129" s="190"/>
      <c r="R129" s="191"/>
      <c r="S129" s="294"/>
      <c r="T129" s="300"/>
      <c r="U129" s="306"/>
      <c r="V129" s="308"/>
      <c r="W129" s="248"/>
      <c r="X129" s="345"/>
      <c r="Y129" s="337"/>
      <c r="Z129" s="123"/>
      <c r="AA129" s="83"/>
      <c r="AB129" s="123"/>
      <c r="AC129" s="83"/>
      <c r="AD129" s="123"/>
      <c r="AE129" s="83"/>
      <c r="AF129" s="123"/>
      <c r="AG129" s="243"/>
      <c r="AH129" s="123"/>
      <c r="AI129" s="245"/>
      <c r="AJ129" s="125"/>
      <c r="AK129" s="92"/>
      <c r="AL129" s="126"/>
      <c r="AM129" s="91"/>
      <c r="AN129" s="91"/>
      <c r="AO129" s="197">
        <f t="shared" si="7"/>
        <v>0</v>
      </c>
      <c r="AP129" s="126"/>
      <c r="AQ129" s="217"/>
      <c r="AR129" s="201"/>
      <c r="AS129" s="266"/>
      <c r="AT129" s="94"/>
      <c r="AU129" s="84"/>
      <c r="AV129" s="80"/>
      <c r="AW129" s="81"/>
      <c r="AX129" s="77"/>
      <c r="AY129" s="107"/>
      <c r="AZ129" s="220">
        <f t="shared" si="4"/>
        <v>0</v>
      </c>
      <c r="BA129" s="220">
        <f t="shared" si="5"/>
        <v>0</v>
      </c>
    </row>
    <row r="130" spans="1:53" ht="50.1" customHeight="1" x14ac:dyDescent="0.25">
      <c r="A130" s="17">
        <f t="shared" si="6"/>
        <v>116</v>
      </c>
      <c r="B130" s="229"/>
      <c r="C130" s="222"/>
      <c r="D130" s="112"/>
      <c r="E130" s="128"/>
      <c r="F130" s="183"/>
      <c r="G130" s="130"/>
      <c r="H130" s="131"/>
      <c r="I130" s="132"/>
      <c r="J130" s="189"/>
      <c r="K130" s="133"/>
      <c r="L130" s="134"/>
      <c r="M130" s="334"/>
      <c r="N130" s="343"/>
      <c r="O130" s="193"/>
      <c r="P130" s="191"/>
      <c r="Q130" s="193"/>
      <c r="R130" s="191"/>
      <c r="S130" s="296"/>
      <c r="T130" s="302"/>
      <c r="U130" s="306"/>
      <c r="V130" s="308"/>
      <c r="W130" s="249"/>
      <c r="X130" s="344"/>
      <c r="Y130" s="337"/>
      <c r="Z130" s="33"/>
      <c r="AA130" s="83"/>
      <c r="AB130" s="33"/>
      <c r="AC130" s="83"/>
      <c r="AD130" s="33"/>
      <c r="AE130" s="83"/>
      <c r="AF130" s="33"/>
      <c r="AG130" s="244"/>
      <c r="AH130" s="83"/>
      <c r="AI130" s="246"/>
      <c r="AJ130" s="102"/>
      <c r="AK130" s="92"/>
      <c r="AL130" s="91"/>
      <c r="AM130" s="92"/>
      <c r="AN130" s="351"/>
      <c r="AO130" s="197">
        <f t="shared" si="7"/>
        <v>0</v>
      </c>
      <c r="AP130" s="91"/>
      <c r="AQ130" s="217"/>
      <c r="AR130" s="196"/>
      <c r="AS130" s="265"/>
      <c r="AT130" s="94"/>
      <c r="AU130" s="84"/>
      <c r="AV130" s="136"/>
      <c r="AW130" s="81"/>
      <c r="AX130" s="137"/>
      <c r="AY130" s="138"/>
      <c r="AZ130" s="220">
        <f t="shared" si="4"/>
        <v>0</v>
      </c>
      <c r="BA130" s="220">
        <f t="shared" si="5"/>
        <v>0</v>
      </c>
    </row>
    <row r="131" spans="1:53" ht="50.1" customHeight="1" x14ac:dyDescent="0.25">
      <c r="A131" s="17">
        <f t="shared" si="6"/>
        <v>117</v>
      </c>
      <c r="B131" s="228"/>
      <c r="C131" s="221"/>
      <c r="D131" s="88"/>
      <c r="E131" s="100"/>
      <c r="F131" s="95"/>
      <c r="G131" s="114"/>
      <c r="H131" s="96"/>
      <c r="I131" s="97"/>
      <c r="J131" s="98"/>
      <c r="K131" s="101"/>
      <c r="L131" s="124"/>
      <c r="M131" s="333"/>
      <c r="N131" s="341"/>
      <c r="O131" s="190"/>
      <c r="P131" s="191"/>
      <c r="Q131" s="190"/>
      <c r="R131" s="191"/>
      <c r="S131" s="294"/>
      <c r="T131" s="300"/>
      <c r="U131" s="306"/>
      <c r="V131" s="308"/>
      <c r="W131" s="248"/>
      <c r="X131" s="342"/>
      <c r="Y131" s="337"/>
      <c r="Z131" s="123"/>
      <c r="AA131" s="83"/>
      <c r="AB131" s="123"/>
      <c r="AC131" s="83"/>
      <c r="AD131" s="123"/>
      <c r="AE131" s="83"/>
      <c r="AF131" s="123"/>
      <c r="AG131" s="243"/>
      <c r="AH131" s="33"/>
      <c r="AI131" s="245"/>
      <c r="AJ131" s="125"/>
      <c r="AK131" s="92"/>
      <c r="AL131" s="126"/>
      <c r="AM131" s="91"/>
      <c r="AN131" s="91"/>
      <c r="AO131" s="197">
        <f t="shared" si="7"/>
        <v>0</v>
      </c>
      <c r="AP131" s="126"/>
      <c r="AQ131" s="217"/>
      <c r="AR131" s="201"/>
      <c r="AS131" s="266"/>
      <c r="AT131" s="94"/>
      <c r="AU131" s="84"/>
      <c r="AV131" s="80"/>
      <c r="AW131" s="81"/>
      <c r="AX131" s="77"/>
      <c r="AY131" s="107"/>
      <c r="AZ131" s="220">
        <f t="shared" si="4"/>
        <v>0</v>
      </c>
      <c r="BA131" s="220">
        <f t="shared" si="5"/>
        <v>0</v>
      </c>
    </row>
    <row r="132" spans="1:53" ht="50.1" customHeight="1" x14ac:dyDescent="0.25">
      <c r="A132" s="17">
        <f t="shared" si="6"/>
        <v>118</v>
      </c>
      <c r="B132" s="229"/>
      <c r="C132" s="222"/>
      <c r="D132" s="112"/>
      <c r="E132" s="128"/>
      <c r="F132" s="183"/>
      <c r="G132" s="130"/>
      <c r="H132" s="131"/>
      <c r="I132" s="132"/>
      <c r="J132" s="189"/>
      <c r="K132" s="133"/>
      <c r="L132" s="134"/>
      <c r="M132" s="334"/>
      <c r="N132" s="343"/>
      <c r="O132" s="192"/>
      <c r="P132" s="191"/>
      <c r="Q132" s="192"/>
      <c r="R132" s="191"/>
      <c r="S132" s="295"/>
      <c r="T132" s="301"/>
      <c r="U132" s="306"/>
      <c r="V132" s="308"/>
      <c r="W132" s="249"/>
      <c r="X132" s="344"/>
      <c r="Y132" s="337"/>
      <c r="Z132" s="33"/>
      <c r="AA132" s="83"/>
      <c r="AB132" s="33"/>
      <c r="AC132" s="83"/>
      <c r="AD132" s="33"/>
      <c r="AE132" s="83"/>
      <c r="AF132" s="33"/>
      <c r="AG132" s="244"/>
      <c r="AH132" s="83"/>
      <c r="AI132" s="246"/>
      <c r="AJ132" s="102"/>
      <c r="AK132" s="92"/>
      <c r="AL132" s="91"/>
      <c r="AM132" s="92"/>
      <c r="AN132" s="351"/>
      <c r="AO132" s="197">
        <f t="shared" si="7"/>
        <v>0</v>
      </c>
      <c r="AP132" s="91"/>
      <c r="AQ132" s="217"/>
      <c r="AR132" s="196"/>
      <c r="AS132" s="265"/>
      <c r="AT132" s="94"/>
      <c r="AU132" s="84"/>
      <c r="AV132" s="136"/>
      <c r="AW132" s="81"/>
      <c r="AX132" s="137"/>
      <c r="AY132" s="138"/>
      <c r="AZ132" s="220">
        <f t="shared" si="4"/>
        <v>0</v>
      </c>
      <c r="BA132" s="220">
        <f t="shared" si="5"/>
        <v>0</v>
      </c>
    </row>
    <row r="133" spans="1:53" ht="50.1" customHeight="1" x14ac:dyDescent="0.25">
      <c r="A133" s="17">
        <f t="shared" si="6"/>
        <v>119</v>
      </c>
      <c r="B133" s="228"/>
      <c r="C133" s="221"/>
      <c r="D133" s="88"/>
      <c r="E133" s="100"/>
      <c r="F133" s="95"/>
      <c r="G133" s="114"/>
      <c r="H133" s="96"/>
      <c r="I133" s="97"/>
      <c r="J133" s="98"/>
      <c r="K133" s="101"/>
      <c r="L133" s="124"/>
      <c r="M133" s="333"/>
      <c r="N133" s="341"/>
      <c r="O133" s="190"/>
      <c r="P133" s="191"/>
      <c r="Q133" s="190"/>
      <c r="R133" s="191"/>
      <c r="S133" s="294"/>
      <c r="T133" s="300"/>
      <c r="U133" s="306"/>
      <c r="V133" s="308"/>
      <c r="W133" s="248"/>
      <c r="X133" s="342"/>
      <c r="Y133" s="337"/>
      <c r="Z133" s="123"/>
      <c r="AA133" s="83"/>
      <c r="AB133" s="123"/>
      <c r="AC133" s="83"/>
      <c r="AD133" s="123"/>
      <c r="AE133" s="83"/>
      <c r="AF133" s="123"/>
      <c r="AG133" s="243"/>
      <c r="AH133" s="33"/>
      <c r="AI133" s="245"/>
      <c r="AJ133" s="125"/>
      <c r="AK133" s="92"/>
      <c r="AL133" s="126"/>
      <c r="AM133" s="91"/>
      <c r="AN133" s="91"/>
      <c r="AO133" s="197">
        <f t="shared" si="7"/>
        <v>0</v>
      </c>
      <c r="AP133" s="126"/>
      <c r="AQ133" s="217"/>
      <c r="AR133" s="201"/>
      <c r="AS133" s="266"/>
      <c r="AT133" s="94"/>
      <c r="AU133" s="84"/>
      <c r="AV133" s="80"/>
      <c r="AW133" s="81"/>
      <c r="AX133" s="77"/>
      <c r="AY133" s="107"/>
      <c r="AZ133" s="220">
        <f t="shared" si="4"/>
        <v>0</v>
      </c>
      <c r="BA133" s="220">
        <f t="shared" si="5"/>
        <v>0</v>
      </c>
    </row>
    <row r="134" spans="1:53" ht="50.1" customHeight="1" x14ac:dyDescent="0.25">
      <c r="A134" s="17">
        <f t="shared" si="6"/>
        <v>120</v>
      </c>
      <c r="B134" s="229"/>
      <c r="C134" s="222"/>
      <c r="D134" s="112"/>
      <c r="E134" s="128"/>
      <c r="F134" s="183"/>
      <c r="G134" s="130"/>
      <c r="H134" s="131"/>
      <c r="I134" s="132"/>
      <c r="J134" s="189"/>
      <c r="K134" s="133"/>
      <c r="L134" s="134"/>
      <c r="M134" s="334"/>
      <c r="N134" s="343"/>
      <c r="O134" s="192"/>
      <c r="P134" s="191"/>
      <c r="Q134" s="192"/>
      <c r="R134" s="191"/>
      <c r="S134" s="295"/>
      <c r="T134" s="301"/>
      <c r="U134" s="306"/>
      <c r="V134" s="308"/>
      <c r="W134" s="249"/>
      <c r="X134" s="344"/>
      <c r="Y134" s="337"/>
      <c r="Z134" s="33"/>
      <c r="AA134" s="83"/>
      <c r="AB134" s="33"/>
      <c r="AC134" s="83"/>
      <c r="AD134" s="33"/>
      <c r="AE134" s="83"/>
      <c r="AF134" s="33"/>
      <c r="AG134" s="244"/>
      <c r="AH134" s="83"/>
      <c r="AI134" s="246"/>
      <c r="AJ134" s="102"/>
      <c r="AK134" s="92"/>
      <c r="AL134" s="91"/>
      <c r="AM134" s="92"/>
      <c r="AN134" s="351"/>
      <c r="AO134" s="197">
        <f t="shared" si="7"/>
        <v>0</v>
      </c>
      <c r="AP134" s="91"/>
      <c r="AQ134" s="217"/>
      <c r="AR134" s="196"/>
      <c r="AS134" s="265"/>
      <c r="AT134" s="94"/>
      <c r="AU134" s="84"/>
      <c r="AV134" s="136"/>
      <c r="AW134" s="81"/>
      <c r="AX134" s="137"/>
      <c r="AY134" s="138"/>
      <c r="AZ134" s="220">
        <f t="shared" si="4"/>
        <v>0</v>
      </c>
      <c r="BA134" s="220">
        <f t="shared" si="5"/>
        <v>0</v>
      </c>
    </row>
    <row r="135" spans="1:53" ht="50.1" customHeight="1" x14ac:dyDescent="0.25">
      <c r="A135" s="17">
        <f t="shared" si="6"/>
        <v>121</v>
      </c>
      <c r="B135" s="228"/>
      <c r="C135" s="221"/>
      <c r="D135" s="88"/>
      <c r="E135" s="100"/>
      <c r="F135" s="95"/>
      <c r="G135" s="114"/>
      <c r="H135" s="96"/>
      <c r="I135" s="97"/>
      <c r="J135" s="98"/>
      <c r="K135" s="101"/>
      <c r="L135" s="124"/>
      <c r="M135" s="333"/>
      <c r="N135" s="341"/>
      <c r="O135" s="190"/>
      <c r="P135" s="191"/>
      <c r="Q135" s="190"/>
      <c r="R135" s="191"/>
      <c r="S135" s="294"/>
      <c r="T135" s="300"/>
      <c r="U135" s="306"/>
      <c r="V135" s="308"/>
      <c r="W135" s="248"/>
      <c r="X135" s="342"/>
      <c r="Y135" s="337"/>
      <c r="Z135" s="123"/>
      <c r="AA135" s="83"/>
      <c r="AB135" s="123"/>
      <c r="AC135" s="83"/>
      <c r="AD135" s="123"/>
      <c r="AE135" s="83"/>
      <c r="AF135" s="123"/>
      <c r="AG135" s="243"/>
      <c r="AH135" s="33"/>
      <c r="AI135" s="245"/>
      <c r="AJ135" s="125"/>
      <c r="AK135" s="92"/>
      <c r="AL135" s="126"/>
      <c r="AM135" s="91"/>
      <c r="AN135" s="91"/>
      <c r="AO135" s="197">
        <f t="shared" si="7"/>
        <v>0</v>
      </c>
      <c r="AP135" s="126"/>
      <c r="AQ135" s="217"/>
      <c r="AR135" s="201"/>
      <c r="AS135" s="266"/>
      <c r="AT135" s="94"/>
      <c r="AU135" s="84"/>
      <c r="AV135" s="80"/>
      <c r="AW135" s="81"/>
      <c r="AX135" s="77"/>
      <c r="AY135" s="107"/>
      <c r="AZ135" s="220">
        <f t="shared" si="4"/>
        <v>0</v>
      </c>
      <c r="BA135" s="220">
        <f t="shared" si="5"/>
        <v>0</v>
      </c>
    </row>
    <row r="136" spans="1:53" ht="50.1" customHeight="1" x14ac:dyDescent="0.25">
      <c r="A136" s="17">
        <f t="shared" si="6"/>
        <v>122</v>
      </c>
      <c r="B136" s="229"/>
      <c r="C136" s="222"/>
      <c r="D136" s="112"/>
      <c r="E136" s="128"/>
      <c r="F136" s="183"/>
      <c r="G136" s="130"/>
      <c r="H136" s="131"/>
      <c r="I136" s="132"/>
      <c r="J136" s="189"/>
      <c r="K136" s="133"/>
      <c r="L136" s="134"/>
      <c r="M136" s="334"/>
      <c r="N136" s="343"/>
      <c r="O136" s="192"/>
      <c r="P136" s="191"/>
      <c r="Q136" s="192"/>
      <c r="R136" s="191"/>
      <c r="S136" s="295"/>
      <c r="T136" s="301"/>
      <c r="U136" s="306"/>
      <c r="V136" s="308"/>
      <c r="W136" s="249"/>
      <c r="X136" s="345"/>
      <c r="Y136" s="337"/>
      <c r="Z136" s="33"/>
      <c r="AA136" s="83"/>
      <c r="AB136" s="33"/>
      <c r="AC136" s="83"/>
      <c r="AD136" s="33"/>
      <c r="AE136" s="83"/>
      <c r="AF136" s="33"/>
      <c r="AG136" s="244"/>
      <c r="AH136" s="83"/>
      <c r="AI136" s="246"/>
      <c r="AJ136" s="195"/>
      <c r="AK136" s="92"/>
      <c r="AL136" s="91"/>
      <c r="AM136" s="92"/>
      <c r="AN136" s="351"/>
      <c r="AO136" s="197">
        <f t="shared" si="7"/>
        <v>0</v>
      </c>
      <c r="AP136" s="91"/>
      <c r="AQ136" s="217"/>
      <c r="AR136" s="196"/>
      <c r="AS136" s="265"/>
      <c r="AT136" s="94"/>
      <c r="AU136" s="84"/>
      <c r="AV136" s="136"/>
      <c r="AW136" s="81"/>
      <c r="AX136" s="137"/>
      <c r="AY136" s="138"/>
      <c r="AZ136" s="220">
        <f t="shared" si="4"/>
        <v>0</v>
      </c>
      <c r="BA136" s="220">
        <f t="shared" si="5"/>
        <v>0</v>
      </c>
    </row>
    <row r="137" spans="1:53" ht="50.1" customHeight="1" x14ac:dyDescent="0.25">
      <c r="A137" s="17">
        <f t="shared" si="6"/>
        <v>123</v>
      </c>
      <c r="B137" s="228"/>
      <c r="C137" s="221"/>
      <c r="D137" s="88"/>
      <c r="E137" s="100"/>
      <c r="F137" s="95"/>
      <c r="G137" s="114"/>
      <c r="H137" s="96"/>
      <c r="I137" s="97"/>
      <c r="J137" s="98"/>
      <c r="K137" s="101"/>
      <c r="L137" s="124"/>
      <c r="M137" s="333"/>
      <c r="N137" s="341"/>
      <c r="O137" s="190"/>
      <c r="P137" s="191"/>
      <c r="Q137" s="190"/>
      <c r="R137" s="191"/>
      <c r="S137" s="294"/>
      <c r="T137" s="300"/>
      <c r="U137" s="306"/>
      <c r="V137" s="308"/>
      <c r="W137" s="248"/>
      <c r="X137" s="345"/>
      <c r="Y137" s="337"/>
      <c r="Z137" s="123"/>
      <c r="AA137" s="83"/>
      <c r="AB137" s="123"/>
      <c r="AC137" s="83"/>
      <c r="AD137" s="123"/>
      <c r="AE137" s="83"/>
      <c r="AF137" s="123"/>
      <c r="AG137" s="243"/>
      <c r="AH137" s="123"/>
      <c r="AI137" s="245"/>
      <c r="AJ137" s="125"/>
      <c r="AK137" s="92"/>
      <c r="AL137" s="126"/>
      <c r="AM137" s="91"/>
      <c r="AN137" s="91"/>
      <c r="AO137" s="197">
        <f t="shared" si="7"/>
        <v>0</v>
      </c>
      <c r="AP137" s="126"/>
      <c r="AQ137" s="217"/>
      <c r="AR137" s="201"/>
      <c r="AS137" s="266"/>
      <c r="AT137" s="94"/>
      <c r="AU137" s="84"/>
      <c r="AV137" s="80"/>
      <c r="AW137" s="81"/>
      <c r="AX137" s="77"/>
      <c r="AY137" s="107"/>
      <c r="AZ137" s="220">
        <f t="shared" si="4"/>
        <v>0</v>
      </c>
      <c r="BA137" s="220">
        <f t="shared" si="5"/>
        <v>0</v>
      </c>
    </row>
    <row r="138" spans="1:53" ht="50.1" customHeight="1" x14ac:dyDescent="0.25">
      <c r="A138" s="17">
        <f t="shared" si="6"/>
        <v>124</v>
      </c>
      <c r="B138" s="229"/>
      <c r="C138" s="222"/>
      <c r="D138" s="112"/>
      <c r="E138" s="128"/>
      <c r="F138" s="183"/>
      <c r="G138" s="130"/>
      <c r="H138" s="131"/>
      <c r="I138" s="132"/>
      <c r="J138" s="189"/>
      <c r="K138" s="133"/>
      <c r="L138" s="134"/>
      <c r="M138" s="334"/>
      <c r="N138" s="343"/>
      <c r="O138" s="192"/>
      <c r="P138" s="191"/>
      <c r="Q138" s="192"/>
      <c r="R138" s="191"/>
      <c r="S138" s="295"/>
      <c r="T138" s="301"/>
      <c r="U138" s="306"/>
      <c r="V138" s="308"/>
      <c r="W138" s="249"/>
      <c r="X138" s="344"/>
      <c r="Y138" s="337"/>
      <c r="Z138" s="33"/>
      <c r="AA138" s="83"/>
      <c r="AB138" s="33"/>
      <c r="AC138" s="83"/>
      <c r="AD138" s="33"/>
      <c r="AE138" s="83"/>
      <c r="AF138" s="33"/>
      <c r="AG138" s="244"/>
      <c r="AH138" s="83"/>
      <c r="AI138" s="246"/>
      <c r="AJ138" s="195"/>
      <c r="AK138" s="92"/>
      <c r="AL138" s="91"/>
      <c r="AM138" s="92"/>
      <c r="AN138" s="351"/>
      <c r="AO138" s="197">
        <f t="shared" si="7"/>
        <v>0</v>
      </c>
      <c r="AP138" s="91"/>
      <c r="AQ138" s="217"/>
      <c r="AR138" s="196"/>
      <c r="AS138" s="265"/>
      <c r="AT138" s="94"/>
      <c r="AU138" s="84"/>
      <c r="AV138" s="136"/>
      <c r="AW138" s="81"/>
      <c r="AX138" s="137"/>
      <c r="AY138" s="138"/>
      <c r="AZ138" s="220">
        <f t="shared" si="4"/>
        <v>0</v>
      </c>
      <c r="BA138" s="220">
        <f t="shared" si="5"/>
        <v>0</v>
      </c>
    </row>
    <row r="139" spans="1:53" ht="50.1" customHeight="1" x14ac:dyDescent="0.25">
      <c r="A139" s="17">
        <f t="shared" si="6"/>
        <v>125</v>
      </c>
      <c r="B139" s="228"/>
      <c r="C139" s="221"/>
      <c r="D139" s="88"/>
      <c r="E139" s="100"/>
      <c r="F139" s="95"/>
      <c r="G139" s="114"/>
      <c r="H139" s="96"/>
      <c r="I139" s="97"/>
      <c r="J139" s="98"/>
      <c r="K139" s="101"/>
      <c r="L139" s="124"/>
      <c r="M139" s="333"/>
      <c r="N139" s="341"/>
      <c r="O139" s="190"/>
      <c r="P139" s="191"/>
      <c r="Q139" s="190"/>
      <c r="R139" s="191"/>
      <c r="S139" s="294"/>
      <c r="T139" s="300"/>
      <c r="U139" s="306"/>
      <c r="V139" s="308"/>
      <c r="W139" s="248"/>
      <c r="X139" s="342"/>
      <c r="Y139" s="337"/>
      <c r="Z139" s="123"/>
      <c r="AA139" s="83"/>
      <c r="AB139" s="123"/>
      <c r="AC139" s="83"/>
      <c r="AD139" s="123"/>
      <c r="AE139" s="83"/>
      <c r="AF139" s="123"/>
      <c r="AG139" s="243"/>
      <c r="AH139" s="33"/>
      <c r="AI139" s="245"/>
      <c r="AJ139" s="125"/>
      <c r="AK139" s="92"/>
      <c r="AL139" s="126"/>
      <c r="AM139" s="91"/>
      <c r="AN139" s="91"/>
      <c r="AO139" s="197">
        <f t="shared" si="7"/>
        <v>0</v>
      </c>
      <c r="AP139" s="126"/>
      <c r="AQ139" s="217"/>
      <c r="AR139" s="201"/>
      <c r="AS139" s="266"/>
      <c r="AT139" s="94"/>
      <c r="AU139" s="84"/>
      <c r="AV139" s="80"/>
      <c r="AW139" s="81"/>
      <c r="AX139" s="77"/>
      <c r="AY139" s="107"/>
      <c r="AZ139" s="220">
        <f t="shared" si="4"/>
        <v>0</v>
      </c>
      <c r="BA139" s="220">
        <f t="shared" si="5"/>
        <v>0</v>
      </c>
    </row>
    <row r="140" spans="1:53" ht="50.1" customHeight="1" x14ac:dyDescent="0.25">
      <c r="A140" s="17">
        <f t="shared" si="6"/>
        <v>126</v>
      </c>
      <c r="B140" s="229"/>
      <c r="C140" s="222"/>
      <c r="D140" s="112"/>
      <c r="E140" s="128"/>
      <c r="F140" s="183"/>
      <c r="G140" s="130"/>
      <c r="H140" s="131"/>
      <c r="I140" s="132"/>
      <c r="J140" s="189"/>
      <c r="K140" s="133"/>
      <c r="L140" s="134"/>
      <c r="M140" s="334"/>
      <c r="N140" s="343"/>
      <c r="O140" s="192"/>
      <c r="P140" s="191"/>
      <c r="Q140" s="192"/>
      <c r="R140" s="191"/>
      <c r="S140" s="295"/>
      <c r="T140" s="301"/>
      <c r="U140" s="306"/>
      <c r="V140" s="308"/>
      <c r="W140" s="249"/>
      <c r="X140" s="345"/>
      <c r="Y140" s="337"/>
      <c r="Z140" s="33"/>
      <c r="AA140" s="83"/>
      <c r="AB140" s="33"/>
      <c r="AC140" s="83"/>
      <c r="AD140" s="33"/>
      <c r="AE140" s="83"/>
      <c r="AF140" s="33"/>
      <c r="AG140" s="244"/>
      <c r="AH140" s="83"/>
      <c r="AI140" s="246"/>
      <c r="AJ140" s="102"/>
      <c r="AK140" s="92"/>
      <c r="AL140" s="91"/>
      <c r="AM140" s="92"/>
      <c r="AN140" s="351"/>
      <c r="AO140" s="197">
        <f t="shared" si="7"/>
        <v>0</v>
      </c>
      <c r="AP140" s="91"/>
      <c r="AQ140" s="217"/>
      <c r="AR140" s="196"/>
      <c r="AS140" s="265"/>
      <c r="AT140" s="94"/>
      <c r="AU140" s="84"/>
      <c r="AV140" s="136"/>
      <c r="AW140" s="81"/>
      <c r="AX140" s="137"/>
      <c r="AY140" s="138"/>
      <c r="AZ140" s="220">
        <f t="shared" si="4"/>
        <v>0</v>
      </c>
      <c r="BA140" s="220">
        <f t="shared" si="5"/>
        <v>0</v>
      </c>
    </row>
    <row r="141" spans="1:53" ht="50.1" customHeight="1" x14ac:dyDescent="0.25">
      <c r="A141" s="17">
        <f t="shared" si="6"/>
        <v>127</v>
      </c>
      <c r="B141" s="228"/>
      <c r="C141" s="221"/>
      <c r="D141" s="88"/>
      <c r="E141" s="100"/>
      <c r="F141" s="95"/>
      <c r="G141" s="114"/>
      <c r="H141" s="96"/>
      <c r="I141" s="97"/>
      <c r="J141" s="98"/>
      <c r="K141" s="101"/>
      <c r="L141" s="124"/>
      <c r="M141" s="333"/>
      <c r="N141" s="341"/>
      <c r="O141" s="190"/>
      <c r="P141" s="191"/>
      <c r="Q141" s="190"/>
      <c r="R141" s="191"/>
      <c r="S141" s="294"/>
      <c r="T141" s="300"/>
      <c r="U141" s="306"/>
      <c r="V141" s="308"/>
      <c r="W141" s="248"/>
      <c r="X141" s="345"/>
      <c r="Y141" s="337"/>
      <c r="Z141" s="123"/>
      <c r="AA141" s="83"/>
      <c r="AB141" s="123"/>
      <c r="AC141" s="83"/>
      <c r="AD141" s="123"/>
      <c r="AE141" s="83"/>
      <c r="AF141" s="123"/>
      <c r="AG141" s="243"/>
      <c r="AH141" s="123"/>
      <c r="AI141" s="245"/>
      <c r="AJ141" s="125"/>
      <c r="AK141" s="92"/>
      <c r="AL141" s="126"/>
      <c r="AM141" s="91"/>
      <c r="AN141" s="91"/>
      <c r="AO141" s="197">
        <f t="shared" si="7"/>
        <v>0</v>
      </c>
      <c r="AP141" s="126"/>
      <c r="AQ141" s="217"/>
      <c r="AR141" s="201"/>
      <c r="AS141" s="266"/>
      <c r="AT141" s="94"/>
      <c r="AU141" s="84"/>
      <c r="AV141" s="80"/>
      <c r="AW141" s="81"/>
      <c r="AX141" s="77"/>
      <c r="AY141" s="107"/>
      <c r="AZ141" s="220">
        <f t="shared" si="4"/>
        <v>0</v>
      </c>
      <c r="BA141" s="220">
        <f t="shared" si="5"/>
        <v>0</v>
      </c>
    </row>
    <row r="142" spans="1:53" ht="50.1" customHeight="1" x14ac:dyDescent="0.25">
      <c r="A142" s="17">
        <f t="shared" si="6"/>
        <v>128</v>
      </c>
      <c r="B142" s="229"/>
      <c r="C142" s="222"/>
      <c r="D142" s="112"/>
      <c r="E142" s="128"/>
      <c r="F142" s="183"/>
      <c r="G142" s="130"/>
      <c r="H142" s="131"/>
      <c r="I142" s="132"/>
      <c r="J142" s="189"/>
      <c r="K142" s="133"/>
      <c r="L142" s="134"/>
      <c r="M142" s="334"/>
      <c r="N142" s="343"/>
      <c r="O142" s="192"/>
      <c r="P142" s="191"/>
      <c r="Q142" s="192"/>
      <c r="R142" s="191"/>
      <c r="S142" s="295"/>
      <c r="T142" s="301"/>
      <c r="U142" s="306"/>
      <c r="V142" s="308"/>
      <c r="W142" s="249"/>
      <c r="X142" s="345"/>
      <c r="Y142" s="337"/>
      <c r="Z142" s="33"/>
      <c r="AA142" s="83"/>
      <c r="AB142" s="33"/>
      <c r="AC142" s="83"/>
      <c r="AD142" s="33"/>
      <c r="AE142" s="83"/>
      <c r="AF142" s="33"/>
      <c r="AG142" s="244"/>
      <c r="AH142" s="83"/>
      <c r="AI142" s="246"/>
      <c r="AJ142" s="102"/>
      <c r="AK142" s="92"/>
      <c r="AL142" s="91"/>
      <c r="AM142" s="92"/>
      <c r="AN142" s="351"/>
      <c r="AO142" s="197">
        <f t="shared" si="7"/>
        <v>0</v>
      </c>
      <c r="AP142" s="91"/>
      <c r="AQ142" s="217"/>
      <c r="AR142" s="196"/>
      <c r="AS142" s="265"/>
      <c r="AT142" s="94"/>
      <c r="AU142" s="84"/>
      <c r="AV142" s="136"/>
      <c r="AW142" s="81"/>
      <c r="AX142" s="137"/>
      <c r="AY142" s="138"/>
      <c r="AZ142" s="220">
        <f t="shared" si="4"/>
        <v>0</v>
      </c>
      <c r="BA142" s="220">
        <f t="shared" si="5"/>
        <v>0</v>
      </c>
    </row>
    <row r="143" spans="1:53" ht="50.1" customHeight="1" x14ac:dyDescent="0.25">
      <c r="A143" s="17">
        <f t="shared" si="6"/>
        <v>129</v>
      </c>
      <c r="B143" s="228"/>
      <c r="C143" s="221"/>
      <c r="D143" s="88"/>
      <c r="E143" s="100"/>
      <c r="F143" s="95"/>
      <c r="G143" s="114"/>
      <c r="H143" s="96"/>
      <c r="I143" s="97"/>
      <c r="J143" s="98"/>
      <c r="K143" s="101"/>
      <c r="L143" s="124"/>
      <c r="M143" s="333"/>
      <c r="N143" s="341"/>
      <c r="O143" s="190"/>
      <c r="P143" s="191"/>
      <c r="Q143" s="190"/>
      <c r="R143" s="191"/>
      <c r="S143" s="294"/>
      <c r="T143" s="300"/>
      <c r="U143" s="306"/>
      <c r="V143" s="308"/>
      <c r="W143" s="248"/>
      <c r="X143" s="342"/>
      <c r="Y143" s="337"/>
      <c r="Z143" s="123"/>
      <c r="AA143" s="83"/>
      <c r="AB143" s="123"/>
      <c r="AC143" s="83"/>
      <c r="AD143" s="123"/>
      <c r="AE143" s="83"/>
      <c r="AF143" s="123"/>
      <c r="AG143" s="243"/>
      <c r="AH143" s="33"/>
      <c r="AI143" s="245"/>
      <c r="AJ143" s="125"/>
      <c r="AK143" s="92"/>
      <c r="AL143" s="126"/>
      <c r="AM143" s="91"/>
      <c r="AN143" s="91"/>
      <c r="AO143" s="197">
        <f t="shared" si="7"/>
        <v>0</v>
      </c>
      <c r="AP143" s="126"/>
      <c r="AQ143" s="217"/>
      <c r="AR143" s="201"/>
      <c r="AS143" s="266"/>
      <c r="AT143" s="94"/>
      <c r="AU143" s="84"/>
      <c r="AV143" s="80"/>
      <c r="AW143" s="81"/>
      <c r="AX143" s="77"/>
      <c r="AY143" s="107"/>
      <c r="AZ143" s="220">
        <f t="shared" ref="AZ143:AZ206" si="8">M143-B143</f>
        <v>0</v>
      </c>
      <c r="BA143" s="220">
        <f t="shared" ref="BA143:BA206" si="9">AU143-M143</f>
        <v>0</v>
      </c>
    </row>
    <row r="144" spans="1:53" ht="50.1" customHeight="1" x14ac:dyDescent="0.25">
      <c r="A144" s="17">
        <f t="shared" ref="A144:A207" si="10">ROW(A130)</f>
        <v>130</v>
      </c>
      <c r="B144" s="229"/>
      <c r="C144" s="222"/>
      <c r="D144" s="112"/>
      <c r="E144" s="128"/>
      <c r="F144" s="183"/>
      <c r="G144" s="130"/>
      <c r="H144" s="131"/>
      <c r="I144" s="132"/>
      <c r="J144" s="189"/>
      <c r="K144" s="133"/>
      <c r="L144" s="134"/>
      <c r="M144" s="334"/>
      <c r="N144" s="343"/>
      <c r="O144" s="192"/>
      <c r="P144" s="191"/>
      <c r="Q144" s="192"/>
      <c r="R144" s="191"/>
      <c r="S144" s="295"/>
      <c r="T144" s="301"/>
      <c r="U144" s="306"/>
      <c r="V144" s="308"/>
      <c r="W144" s="249"/>
      <c r="X144" s="345"/>
      <c r="Y144" s="337"/>
      <c r="Z144" s="33"/>
      <c r="AA144" s="83"/>
      <c r="AB144" s="33"/>
      <c r="AC144" s="83"/>
      <c r="AD144" s="33"/>
      <c r="AE144" s="83"/>
      <c r="AF144" s="33"/>
      <c r="AG144" s="244"/>
      <c r="AH144" s="83"/>
      <c r="AI144" s="246"/>
      <c r="AJ144" s="102"/>
      <c r="AK144" s="92"/>
      <c r="AL144" s="91"/>
      <c r="AM144" s="92"/>
      <c r="AN144" s="351"/>
      <c r="AO144" s="197">
        <f t="shared" ref="AO144:AO207" si="11">AJ144-AK144-AL144-AM144-AN144</f>
        <v>0</v>
      </c>
      <c r="AP144" s="91"/>
      <c r="AQ144" s="217"/>
      <c r="AR144" s="196"/>
      <c r="AS144" s="265"/>
      <c r="AT144" s="94"/>
      <c r="AU144" s="84"/>
      <c r="AV144" s="136"/>
      <c r="AW144" s="81"/>
      <c r="AX144" s="137"/>
      <c r="AY144" s="138"/>
      <c r="AZ144" s="220">
        <f t="shared" si="8"/>
        <v>0</v>
      </c>
      <c r="BA144" s="220">
        <f t="shared" si="9"/>
        <v>0</v>
      </c>
    </row>
    <row r="145" spans="1:53" ht="50.1" customHeight="1" x14ac:dyDescent="0.25">
      <c r="A145" s="17">
        <f t="shared" si="10"/>
        <v>131</v>
      </c>
      <c r="B145" s="228"/>
      <c r="C145" s="221"/>
      <c r="D145" s="88"/>
      <c r="E145" s="100"/>
      <c r="F145" s="95"/>
      <c r="G145" s="114"/>
      <c r="H145" s="96"/>
      <c r="I145" s="97"/>
      <c r="J145" s="98"/>
      <c r="K145" s="101"/>
      <c r="L145" s="124"/>
      <c r="M145" s="333"/>
      <c r="N145" s="341"/>
      <c r="O145" s="190"/>
      <c r="P145" s="191"/>
      <c r="Q145" s="190"/>
      <c r="R145" s="191"/>
      <c r="S145" s="294"/>
      <c r="T145" s="300"/>
      <c r="U145" s="306"/>
      <c r="V145" s="308"/>
      <c r="W145" s="248"/>
      <c r="X145" s="342"/>
      <c r="Y145" s="337"/>
      <c r="Z145" s="123"/>
      <c r="AA145" s="83"/>
      <c r="AB145" s="123"/>
      <c r="AC145" s="83"/>
      <c r="AD145" s="123"/>
      <c r="AE145" s="83"/>
      <c r="AF145" s="123"/>
      <c r="AG145" s="243"/>
      <c r="AH145" s="33"/>
      <c r="AI145" s="245"/>
      <c r="AJ145" s="125"/>
      <c r="AK145" s="92"/>
      <c r="AL145" s="126"/>
      <c r="AM145" s="91"/>
      <c r="AN145" s="91"/>
      <c r="AO145" s="197">
        <f t="shared" si="11"/>
        <v>0</v>
      </c>
      <c r="AP145" s="126"/>
      <c r="AQ145" s="217"/>
      <c r="AR145" s="201"/>
      <c r="AS145" s="266"/>
      <c r="AT145" s="94"/>
      <c r="AU145" s="84"/>
      <c r="AV145" s="80"/>
      <c r="AW145" s="81"/>
      <c r="AX145" s="77"/>
      <c r="AY145" s="107"/>
      <c r="AZ145" s="220">
        <f t="shared" si="8"/>
        <v>0</v>
      </c>
      <c r="BA145" s="220">
        <f t="shared" si="9"/>
        <v>0</v>
      </c>
    </row>
    <row r="146" spans="1:53" ht="50.1" customHeight="1" x14ac:dyDescent="0.25">
      <c r="A146" s="17">
        <f t="shared" si="10"/>
        <v>132</v>
      </c>
      <c r="B146" s="229"/>
      <c r="C146" s="222"/>
      <c r="D146" s="112"/>
      <c r="E146" s="128"/>
      <c r="F146" s="183"/>
      <c r="G146" s="130"/>
      <c r="H146" s="131"/>
      <c r="I146" s="132"/>
      <c r="J146" s="189"/>
      <c r="K146" s="133"/>
      <c r="L146" s="134"/>
      <c r="M146" s="334"/>
      <c r="N146" s="343"/>
      <c r="O146" s="192"/>
      <c r="P146" s="191"/>
      <c r="Q146" s="192"/>
      <c r="R146" s="191"/>
      <c r="S146" s="295"/>
      <c r="T146" s="301"/>
      <c r="U146" s="306"/>
      <c r="V146" s="308"/>
      <c r="W146" s="249"/>
      <c r="X146" s="344"/>
      <c r="Y146" s="337"/>
      <c r="Z146" s="33"/>
      <c r="AA146" s="83"/>
      <c r="AB146" s="33"/>
      <c r="AC146" s="83"/>
      <c r="AD146" s="33"/>
      <c r="AE146" s="83"/>
      <c r="AF146" s="33"/>
      <c r="AG146" s="244"/>
      <c r="AH146" s="83"/>
      <c r="AI146" s="246"/>
      <c r="AJ146" s="102"/>
      <c r="AK146" s="92"/>
      <c r="AL146" s="91"/>
      <c r="AM146" s="92"/>
      <c r="AN146" s="351"/>
      <c r="AO146" s="197">
        <f t="shared" si="11"/>
        <v>0</v>
      </c>
      <c r="AP146" s="91"/>
      <c r="AQ146" s="217"/>
      <c r="AR146" s="196"/>
      <c r="AS146" s="265"/>
      <c r="AT146" s="94"/>
      <c r="AU146" s="84"/>
      <c r="AV146" s="136"/>
      <c r="AW146" s="81"/>
      <c r="AX146" s="137"/>
      <c r="AY146" s="138"/>
      <c r="AZ146" s="220">
        <f t="shared" si="8"/>
        <v>0</v>
      </c>
      <c r="BA146" s="220">
        <f t="shared" si="9"/>
        <v>0</v>
      </c>
    </row>
    <row r="147" spans="1:53" ht="50.1" customHeight="1" x14ac:dyDescent="0.25">
      <c r="A147" s="17">
        <f t="shared" si="10"/>
        <v>133</v>
      </c>
      <c r="B147" s="228"/>
      <c r="C147" s="221"/>
      <c r="D147" s="88"/>
      <c r="E147" s="100"/>
      <c r="F147" s="95"/>
      <c r="G147" s="114"/>
      <c r="H147" s="96"/>
      <c r="I147" s="97"/>
      <c r="J147" s="98"/>
      <c r="K147" s="101"/>
      <c r="L147" s="124"/>
      <c r="M147" s="333"/>
      <c r="N147" s="341"/>
      <c r="O147" s="190"/>
      <c r="P147" s="191"/>
      <c r="Q147" s="190"/>
      <c r="R147" s="191"/>
      <c r="S147" s="294"/>
      <c r="T147" s="300"/>
      <c r="U147" s="306"/>
      <c r="V147" s="308"/>
      <c r="W147" s="248"/>
      <c r="X147" s="342"/>
      <c r="Y147" s="337"/>
      <c r="Z147" s="123"/>
      <c r="AA147" s="83"/>
      <c r="AB147" s="123"/>
      <c r="AC147" s="83"/>
      <c r="AD147" s="123"/>
      <c r="AE147" s="83"/>
      <c r="AF147" s="123"/>
      <c r="AG147" s="243"/>
      <c r="AH147" s="33"/>
      <c r="AI147" s="245"/>
      <c r="AJ147" s="125"/>
      <c r="AK147" s="92"/>
      <c r="AL147" s="126"/>
      <c r="AM147" s="91"/>
      <c r="AN147" s="91"/>
      <c r="AO147" s="197">
        <f t="shared" si="11"/>
        <v>0</v>
      </c>
      <c r="AP147" s="126"/>
      <c r="AQ147" s="217"/>
      <c r="AR147" s="201"/>
      <c r="AS147" s="266"/>
      <c r="AT147" s="94"/>
      <c r="AU147" s="84"/>
      <c r="AV147" s="80"/>
      <c r="AW147" s="81"/>
      <c r="AX147" s="77"/>
      <c r="AY147" s="107"/>
      <c r="AZ147" s="220">
        <f t="shared" si="8"/>
        <v>0</v>
      </c>
      <c r="BA147" s="220">
        <f t="shared" si="9"/>
        <v>0</v>
      </c>
    </row>
    <row r="148" spans="1:53" ht="50.1" customHeight="1" x14ac:dyDescent="0.25">
      <c r="A148" s="17">
        <f t="shared" si="10"/>
        <v>134</v>
      </c>
      <c r="B148" s="229"/>
      <c r="C148" s="222"/>
      <c r="D148" s="112"/>
      <c r="E148" s="128"/>
      <c r="F148" s="183"/>
      <c r="G148" s="130"/>
      <c r="H148" s="131"/>
      <c r="I148" s="132"/>
      <c r="J148" s="189"/>
      <c r="K148" s="133"/>
      <c r="L148" s="134"/>
      <c r="M148" s="334"/>
      <c r="N148" s="343"/>
      <c r="O148" s="192"/>
      <c r="P148" s="191"/>
      <c r="Q148" s="192"/>
      <c r="R148" s="191"/>
      <c r="S148" s="295"/>
      <c r="T148" s="301"/>
      <c r="U148" s="306"/>
      <c r="V148" s="308"/>
      <c r="W148" s="249"/>
      <c r="X148" s="344"/>
      <c r="Y148" s="337"/>
      <c r="Z148" s="33"/>
      <c r="AA148" s="83"/>
      <c r="AB148" s="33"/>
      <c r="AC148" s="83"/>
      <c r="AD148" s="33"/>
      <c r="AE148" s="83"/>
      <c r="AF148" s="33"/>
      <c r="AG148" s="244"/>
      <c r="AH148" s="83"/>
      <c r="AI148" s="246"/>
      <c r="AJ148" s="102"/>
      <c r="AK148" s="92"/>
      <c r="AL148" s="91"/>
      <c r="AM148" s="92"/>
      <c r="AN148" s="351"/>
      <c r="AO148" s="197">
        <f t="shared" si="11"/>
        <v>0</v>
      </c>
      <c r="AP148" s="91"/>
      <c r="AQ148" s="217"/>
      <c r="AR148" s="196"/>
      <c r="AS148" s="265"/>
      <c r="AT148" s="94"/>
      <c r="AU148" s="84"/>
      <c r="AV148" s="136"/>
      <c r="AW148" s="81"/>
      <c r="AX148" s="137"/>
      <c r="AY148" s="138"/>
      <c r="AZ148" s="220">
        <f t="shared" si="8"/>
        <v>0</v>
      </c>
      <c r="BA148" s="220">
        <f t="shared" si="9"/>
        <v>0</v>
      </c>
    </row>
    <row r="149" spans="1:53" ht="50.1" customHeight="1" x14ac:dyDescent="0.25">
      <c r="A149" s="17">
        <f t="shared" si="10"/>
        <v>135</v>
      </c>
      <c r="B149" s="228"/>
      <c r="C149" s="221"/>
      <c r="D149" s="88"/>
      <c r="E149" s="100"/>
      <c r="F149" s="95"/>
      <c r="G149" s="114"/>
      <c r="H149" s="96"/>
      <c r="I149" s="97"/>
      <c r="J149" s="98"/>
      <c r="K149" s="101"/>
      <c r="L149" s="124"/>
      <c r="M149" s="333"/>
      <c r="N149" s="341"/>
      <c r="O149" s="190"/>
      <c r="P149" s="191"/>
      <c r="Q149" s="190"/>
      <c r="R149" s="191"/>
      <c r="S149" s="294"/>
      <c r="T149" s="300"/>
      <c r="U149" s="306"/>
      <c r="V149" s="308"/>
      <c r="W149" s="248"/>
      <c r="X149" s="345"/>
      <c r="Y149" s="337"/>
      <c r="Z149" s="123"/>
      <c r="AA149" s="83"/>
      <c r="AB149" s="123"/>
      <c r="AC149" s="83"/>
      <c r="AD149" s="123"/>
      <c r="AE149" s="83"/>
      <c r="AF149" s="123"/>
      <c r="AG149" s="243"/>
      <c r="AH149" s="123"/>
      <c r="AI149" s="245"/>
      <c r="AJ149" s="125"/>
      <c r="AK149" s="92"/>
      <c r="AL149" s="126"/>
      <c r="AM149" s="91"/>
      <c r="AN149" s="91"/>
      <c r="AO149" s="197">
        <f t="shared" si="11"/>
        <v>0</v>
      </c>
      <c r="AP149" s="126"/>
      <c r="AQ149" s="217"/>
      <c r="AR149" s="201"/>
      <c r="AS149" s="266"/>
      <c r="AT149" s="94"/>
      <c r="AU149" s="84"/>
      <c r="AV149" s="80"/>
      <c r="AW149" s="81"/>
      <c r="AX149" s="77"/>
      <c r="AY149" s="107"/>
      <c r="AZ149" s="220">
        <f t="shared" si="8"/>
        <v>0</v>
      </c>
      <c r="BA149" s="220">
        <f t="shared" si="9"/>
        <v>0</v>
      </c>
    </row>
    <row r="150" spans="1:53" ht="50.1" customHeight="1" x14ac:dyDescent="0.25">
      <c r="A150" s="17">
        <f t="shared" si="10"/>
        <v>136</v>
      </c>
      <c r="B150" s="229"/>
      <c r="C150" s="222"/>
      <c r="D150" s="112"/>
      <c r="E150" s="128"/>
      <c r="F150" s="183"/>
      <c r="G150" s="130"/>
      <c r="H150" s="131"/>
      <c r="I150" s="132"/>
      <c r="J150" s="189"/>
      <c r="K150" s="133"/>
      <c r="L150" s="134"/>
      <c r="M150" s="334"/>
      <c r="N150" s="343"/>
      <c r="O150" s="192"/>
      <c r="P150" s="191"/>
      <c r="Q150" s="192"/>
      <c r="R150" s="191"/>
      <c r="S150" s="295"/>
      <c r="T150" s="301"/>
      <c r="U150" s="306"/>
      <c r="V150" s="308"/>
      <c r="W150" s="249"/>
      <c r="X150" s="345"/>
      <c r="Y150" s="337"/>
      <c r="Z150" s="33"/>
      <c r="AA150" s="83"/>
      <c r="AB150" s="33"/>
      <c r="AC150" s="83"/>
      <c r="AD150" s="33"/>
      <c r="AE150" s="83"/>
      <c r="AF150" s="33"/>
      <c r="AG150" s="244"/>
      <c r="AH150" s="83"/>
      <c r="AI150" s="246"/>
      <c r="AJ150" s="102"/>
      <c r="AK150" s="92"/>
      <c r="AL150" s="91"/>
      <c r="AM150" s="92"/>
      <c r="AN150" s="351"/>
      <c r="AO150" s="197">
        <f t="shared" si="11"/>
        <v>0</v>
      </c>
      <c r="AP150" s="91"/>
      <c r="AQ150" s="217"/>
      <c r="AR150" s="196"/>
      <c r="AS150" s="265"/>
      <c r="AT150" s="94"/>
      <c r="AU150" s="84"/>
      <c r="AV150" s="136"/>
      <c r="AW150" s="81"/>
      <c r="AX150" s="137"/>
      <c r="AY150" s="138"/>
      <c r="AZ150" s="220">
        <f t="shared" si="8"/>
        <v>0</v>
      </c>
      <c r="BA150" s="220">
        <f t="shared" si="9"/>
        <v>0</v>
      </c>
    </row>
    <row r="151" spans="1:53" ht="50.1" customHeight="1" x14ac:dyDescent="0.25">
      <c r="A151" s="17">
        <f t="shared" si="10"/>
        <v>137</v>
      </c>
      <c r="B151" s="228"/>
      <c r="C151" s="221"/>
      <c r="D151" s="88"/>
      <c r="E151" s="100"/>
      <c r="F151" s="95"/>
      <c r="G151" s="114"/>
      <c r="H151" s="96"/>
      <c r="I151" s="97"/>
      <c r="J151" s="98"/>
      <c r="K151" s="101"/>
      <c r="L151" s="124"/>
      <c r="M151" s="333"/>
      <c r="N151" s="341"/>
      <c r="O151" s="190"/>
      <c r="P151" s="191"/>
      <c r="Q151" s="190"/>
      <c r="R151" s="191"/>
      <c r="S151" s="294"/>
      <c r="T151" s="300"/>
      <c r="U151" s="306"/>
      <c r="V151" s="308"/>
      <c r="W151" s="248"/>
      <c r="X151" s="345"/>
      <c r="Y151" s="337"/>
      <c r="Z151" s="123"/>
      <c r="AA151" s="83"/>
      <c r="AB151" s="123"/>
      <c r="AC151" s="83"/>
      <c r="AD151" s="123"/>
      <c r="AE151" s="83"/>
      <c r="AF151" s="123"/>
      <c r="AG151" s="243"/>
      <c r="AH151" s="123"/>
      <c r="AI151" s="245"/>
      <c r="AJ151" s="125"/>
      <c r="AK151" s="92"/>
      <c r="AL151" s="126"/>
      <c r="AM151" s="91"/>
      <c r="AN151" s="91"/>
      <c r="AO151" s="197">
        <f t="shared" si="11"/>
        <v>0</v>
      </c>
      <c r="AP151" s="126"/>
      <c r="AQ151" s="217"/>
      <c r="AR151" s="201"/>
      <c r="AS151" s="266"/>
      <c r="AT151" s="94"/>
      <c r="AU151" s="84"/>
      <c r="AV151" s="80"/>
      <c r="AW151" s="81"/>
      <c r="AX151" s="77"/>
      <c r="AY151" s="107"/>
      <c r="AZ151" s="220">
        <f t="shared" si="8"/>
        <v>0</v>
      </c>
      <c r="BA151" s="220">
        <f t="shared" si="9"/>
        <v>0</v>
      </c>
    </row>
    <row r="152" spans="1:53" ht="50.1" customHeight="1" x14ac:dyDescent="0.25">
      <c r="A152" s="17">
        <f t="shared" si="10"/>
        <v>138</v>
      </c>
      <c r="B152" s="229"/>
      <c r="C152" s="222"/>
      <c r="D152" s="112"/>
      <c r="E152" s="128"/>
      <c r="F152" s="183"/>
      <c r="G152" s="130"/>
      <c r="H152" s="131"/>
      <c r="I152" s="132"/>
      <c r="J152" s="189"/>
      <c r="K152" s="133"/>
      <c r="L152" s="134"/>
      <c r="M152" s="334"/>
      <c r="N152" s="343"/>
      <c r="O152" s="192"/>
      <c r="P152" s="191"/>
      <c r="Q152" s="192"/>
      <c r="R152" s="191"/>
      <c r="S152" s="295"/>
      <c r="T152" s="301"/>
      <c r="U152" s="306"/>
      <c r="V152" s="308"/>
      <c r="W152" s="249"/>
      <c r="X152" s="345"/>
      <c r="Y152" s="337"/>
      <c r="Z152" s="33"/>
      <c r="AA152" s="83"/>
      <c r="AB152" s="33"/>
      <c r="AC152" s="83"/>
      <c r="AD152" s="33"/>
      <c r="AE152" s="83"/>
      <c r="AF152" s="33"/>
      <c r="AG152" s="244"/>
      <c r="AH152" s="83"/>
      <c r="AI152" s="246"/>
      <c r="AJ152" s="102"/>
      <c r="AK152" s="92"/>
      <c r="AL152" s="91"/>
      <c r="AM152" s="92"/>
      <c r="AN152" s="351"/>
      <c r="AO152" s="197">
        <f t="shared" si="11"/>
        <v>0</v>
      </c>
      <c r="AP152" s="91"/>
      <c r="AQ152" s="217"/>
      <c r="AR152" s="196"/>
      <c r="AS152" s="265"/>
      <c r="AT152" s="94"/>
      <c r="AU152" s="84"/>
      <c r="AV152" s="136"/>
      <c r="AW152" s="81"/>
      <c r="AX152" s="137"/>
      <c r="AY152" s="138"/>
      <c r="AZ152" s="220">
        <f t="shared" si="8"/>
        <v>0</v>
      </c>
      <c r="BA152" s="220">
        <f t="shared" si="9"/>
        <v>0</v>
      </c>
    </row>
    <row r="153" spans="1:53" ht="50.1" customHeight="1" x14ac:dyDescent="0.25">
      <c r="A153" s="17">
        <f t="shared" si="10"/>
        <v>139</v>
      </c>
      <c r="B153" s="228"/>
      <c r="C153" s="221"/>
      <c r="D153" s="88"/>
      <c r="E153" s="100"/>
      <c r="F153" s="95"/>
      <c r="G153" s="114"/>
      <c r="H153" s="96"/>
      <c r="I153" s="97"/>
      <c r="J153" s="98"/>
      <c r="K153" s="101"/>
      <c r="L153" s="124"/>
      <c r="M153" s="333"/>
      <c r="N153" s="341"/>
      <c r="O153" s="190"/>
      <c r="P153" s="191"/>
      <c r="Q153" s="190"/>
      <c r="R153" s="191"/>
      <c r="S153" s="294"/>
      <c r="T153" s="300"/>
      <c r="U153" s="306"/>
      <c r="V153" s="308"/>
      <c r="W153" s="248"/>
      <c r="X153" s="342"/>
      <c r="Y153" s="337"/>
      <c r="Z153" s="123"/>
      <c r="AA153" s="83"/>
      <c r="AB153" s="123"/>
      <c r="AC153" s="83"/>
      <c r="AD153" s="123"/>
      <c r="AE153" s="83"/>
      <c r="AF153" s="123"/>
      <c r="AG153" s="243"/>
      <c r="AH153" s="33"/>
      <c r="AI153" s="245"/>
      <c r="AJ153" s="125"/>
      <c r="AK153" s="92"/>
      <c r="AL153" s="126"/>
      <c r="AM153" s="91"/>
      <c r="AN153" s="91"/>
      <c r="AO153" s="197">
        <f t="shared" si="11"/>
        <v>0</v>
      </c>
      <c r="AP153" s="126"/>
      <c r="AQ153" s="217"/>
      <c r="AR153" s="201"/>
      <c r="AS153" s="266"/>
      <c r="AT153" s="94"/>
      <c r="AU153" s="84"/>
      <c r="AV153" s="80"/>
      <c r="AW153" s="81"/>
      <c r="AX153" s="77"/>
      <c r="AY153" s="107"/>
      <c r="AZ153" s="220">
        <f t="shared" si="8"/>
        <v>0</v>
      </c>
      <c r="BA153" s="220">
        <f t="shared" si="9"/>
        <v>0</v>
      </c>
    </row>
    <row r="154" spans="1:53" ht="50.1" customHeight="1" x14ac:dyDescent="0.25">
      <c r="A154" s="17">
        <f t="shared" si="10"/>
        <v>140</v>
      </c>
      <c r="B154" s="229"/>
      <c r="C154" s="222"/>
      <c r="D154" s="112"/>
      <c r="E154" s="128"/>
      <c r="F154" s="183"/>
      <c r="G154" s="130"/>
      <c r="H154" s="131"/>
      <c r="I154" s="132"/>
      <c r="J154" s="189"/>
      <c r="K154" s="133"/>
      <c r="L154" s="134"/>
      <c r="M154" s="334"/>
      <c r="N154" s="343"/>
      <c r="O154" s="193"/>
      <c r="P154" s="191"/>
      <c r="Q154" s="193"/>
      <c r="R154" s="191"/>
      <c r="S154" s="296"/>
      <c r="T154" s="302"/>
      <c r="U154" s="306"/>
      <c r="V154" s="308"/>
      <c r="W154" s="249"/>
      <c r="X154" s="344"/>
      <c r="Y154" s="337"/>
      <c r="Z154" s="33"/>
      <c r="AA154" s="83"/>
      <c r="AB154" s="33"/>
      <c r="AC154" s="83"/>
      <c r="AD154" s="33"/>
      <c r="AE154" s="83"/>
      <c r="AF154" s="33"/>
      <c r="AG154" s="244"/>
      <c r="AH154" s="83"/>
      <c r="AI154" s="246"/>
      <c r="AJ154" s="195"/>
      <c r="AK154" s="92"/>
      <c r="AL154" s="91"/>
      <c r="AM154" s="92"/>
      <c r="AN154" s="351"/>
      <c r="AO154" s="197">
        <f t="shared" si="11"/>
        <v>0</v>
      </c>
      <c r="AP154" s="91"/>
      <c r="AQ154" s="217"/>
      <c r="AR154" s="196"/>
      <c r="AS154" s="265"/>
      <c r="AT154" s="94"/>
      <c r="AU154" s="84"/>
      <c r="AV154" s="136"/>
      <c r="AW154" s="81"/>
      <c r="AX154" s="137"/>
      <c r="AY154" s="138"/>
      <c r="AZ154" s="220">
        <f t="shared" si="8"/>
        <v>0</v>
      </c>
      <c r="BA154" s="220">
        <f t="shared" si="9"/>
        <v>0</v>
      </c>
    </row>
    <row r="155" spans="1:53" ht="50.1" customHeight="1" x14ac:dyDescent="0.25">
      <c r="A155" s="17">
        <f t="shared" si="10"/>
        <v>141</v>
      </c>
      <c r="B155" s="228"/>
      <c r="C155" s="221"/>
      <c r="D155" s="88"/>
      <c r="E155" s="100"/>
      <c r="F155" s="95"/>
      <c r="G155" s="114"/>
      <c r="H155" s="96"/>
      <c r="I155" s="97"/>
      <c r="J155" s="98"/>
      <c r="K155" s="101"/>
      <c r="L155" s="124"/>
      <c r="M155" s="333"/>
      <c r="N155" s="341"/>
      <c r="O155" s="190"/>
      <c r="P155" s="191"/>
      <c r="Q155" s="190"/>
      <c r="R155" s="191"/>
      <c r="S155" s="294"/>
      <c r="T155" s="300"/>
      <c r="U155" s="306"/>
      <c r="V155" s="308"/>
      <c r="W155" s="248"/>
      <c r="X155" s="342"/>
      <c r="Y155" s="337"/>
      <c r="Z155" s="123"/>
      <c r="AA155" s="83"/>
      <c r="AB155" s="123"/>
      <c r="AC155" s="83"/>
      <c r="AD155" s="123"/>
      <c r="AE155" s="83"/>
      <c r="AF155" s="123"/>
      <c r="AG155" s="243"/>
      <c r="AH155" s="33"/>
      <c r="AI155" s="245"/>
      <c r="AJ155" s="125"/>
      <c r="AK155" s="92"/>
      <c r="AL155" s="126"/>
      <c r="AM155" s="91"/>
      <c r="AN155" s="91"/>
      <c r="AO155" s="197">
        <f t="shared" si="11"/>
        <v>0</v>
      </c>
      <c r="AP155" s="126"/>
      <c r="AQ155" s="217"/>
      <c r="AR155" s="201"/>
      <c r="AS155" s="266"/>
      <c r="AT155" s="94"/>
      <c r="AU155" s="84"/>
      <c r="AV155" s="80"/>
      <c r="AW155" s="81"/>
      <c r="AX155" s="77"/>
      <c r="AY155" s="107"/>
      <c r="AZ155" s="220">
        <f t="shared" si="8"/>
        <v>0</v>
      </c>
      <c r="BA155" s="220">
        <f t="shared" si="9"/>
        <v>0</v>
      </c>
    </row>
    <row r="156" spans="1:53" ht="50.1" customHeight="1" x14ac:dyDescent="0.25">
      <c r="A156" s="17">
        <f t="shared" si="10"/>
        <v>142</v>
      </c>
      <c r="B156" s="229"/>
      <c r="C156" s="222"/>
      <c r="D156" s="112"/>
      <c r="E156" s="128"/>
      <c r="F156" s="183"/>
      <c r="G156" s="130"/>
      <c r="H156" s="131"/>
      <c r="I156" s="132"/>
      <c r="J156" s="189"/>
      <c r="K156" s="133"/>
      <c r="L156" s="134"/>
      <c r="M156" s="334"/>
      <c r="N156" s="343"/>
      <c r="O156" s="193"/>
      <c r="P156" s="191"/>
      <c r="Q156" s="193"/>
      <c r="R156" s="191"/>
      <c r="S156" s="296"/>
      <c r="T156" s="302"/>
      <c r="U156" s="306"/>
      <c r="V156" s="308"/>
      <c r="W156" s="249"/>
      <c r="X156" s="344"/>
      <c r="Y156" s="337"/>
      <c r="Z156" s="33"/>
      <c r="AA156" s="83"/>
      <c r="AB156" s="33"/>
      <c r="AC156" s="83"/>
      <c r="AD156" s="33"/>
      <c r="AE156" s="83"/>
      <c r="AF156" s="33"/>
      <c r="AG156" s="244"/>
      <c r="AH156" s="83"/>
      <c r="AI156" s="246"/>
      <c r="AJ156" s="102"/>
      <c r="AK156" s="92"/>
      <c r="AL156" s="91"/>
      <c r="AM156" s="92"/>
      <c r="AN156" s="351"/>
      <c r="AO156" s="197">
        <f t="shared" si="11"/>
        <v>0</v>
      </c>
      <c r="AP156" s="91"/>
      <c r="AQ156" s="217"/>
      <c r="AR156" s="196"/>
      <c r="AS156" s="265"/>
      <c r="AT156" s="94"/>
      <c r="AU156" s="84"/>
      <c r="AV156" s="136"/>
      <c r="AW156" s="81"/>
      <c r="AX156" s="137"/>
      <c r="AY156" s="138"/>
      <c r="AZ156" s="220">
        <f t="shared" si="8"/>
        <v>0</v>
      </c>
      <c r="BA156" s="220">
        <f t="shared" si="9"/>
        <v>0</v>
      </c>
    </row>
    <row r="157" spans="1:53" ht="50.1" customHeight="1" x14ac:dyDescent="0.25">
      <c r="A157" s="17">
        <f t="shared" si="10"/>
        <v>143</v>
      </c>
      <c r="B157" s="228"/>
      <c r="C157" s="221"/>
      <c r="D157" s="88"/>
      <c r="E157" s="100"/>
      <c r="F157" s="95"/>
      <c r="G157" s="114"/>
      <c r="H157" s="96"/>
      <c r="I157" s="97"/>
      <c r="J157" s="98"/>
      <c r="K157" s="101"/>
      <c r="L157" s="124"/>
      <c r="M157" s="333"/>
      <c r="N157" s="341"/>
      <c r="O157" s="190"/>
      <c r="P157" s="191"/>
      <c r="Q157" s="190"/>
      <c r="R157" s="191"/>
      <c r="S157" s="294"/>
      <c r="T157" s="300"/>
      <c r="U157" s="306"/>
      <c r="V157" s="308"/>
      <c r="W157" s="248"/>
      <c r="X157" s="342"/>
      <c r="Y157" s="337"/>
      <c r="Z157" s="123"/>
      <c r="AA157" s="83"/>
      <c r="AB157" s="123"/>
      <c r="AC157" s="83"/>
      <c r="AD157" s="123"/>
      <c r="AE157" s="83"/>
      <c r="AF157" s="123"/>
      <c r="AG157" s="243"/>
      <c r="AH157" s="33"/>
      <c r="AI157" s="245"/>
      <c r="AJ157" s="125"/>
      <c r="AK157" s="92"/>
      <c r="AL157" s="126"/>
      <c r="AM157" s="91"/>
      <c r="AN157" s="91"/>
      <c r="AO157" s="197">
        <f t="shared" si="11"/>
        <v>0</v>
      </c>
      <c r="AP157" s="126"/>
      <c r="AQ157" s="217"/>
      <c r="AR157" s="201"/>
      <c r="AS157" s="266"/>
      <c r="AT157" s="94"/>
      <c r="AU157" s="84"/>
      <c r="AV157" s="80"/>
      <c r="AW157" s="81"/>
      <c r="AX157" s="77"/>
      <c r="AY157" s="107"/>
      <c r="AZ157" s="220">
        <f t="shared" si="8"/>
        <v>0</v>
      </c>
      <c r="BA157" s="220">
        <f t="shared" si="9"/>
        <v>0</v>
      </c>
    </row>
    <row r="158" spans="1:53" ht="50.1" customHeight="1" x14ac:dyDescent="0.25">
      <c r="A158" s="17">
        <f t="shared" si="10"/>
        <v>144</v>
      </c>
      <c r="B158" s="229"/>
      <c r="C158" s="222"/>
      <c r="D158" s="112"/>
      <c r="E158" s="128"/>
      <c r="F158" s="183"/>
      <c r="G158" s="130"/>
      <c r="H158" s="131"/>
      <c r="I158" s="132"/>
      <c r="J158" s="189"/>
      <c r="K158" s="133"/>
      <c r="L158" s="134"/>
      <c r="M158" s="334"/>
      <c r="N158" s="343"/>
      <c r="O158" s="192"/>
      <c r="P158" s="191"/>
      <c r="Q158" s="192"/>
      <c r="R158" s="191"/>
      <c r="S158" s="295"/>
      <c r="T158" s="301"/>
      <c r="U158" s="306"/>
      <c r="V158" s="308"/>
      <c r="W158" s="249"/>
      <c r="X158" s="344"/>
      <c r="Y158" s="337"/>
      <c r="Z158" s="33"/>
      <c r="AA158" s="83"/>
      <c r="AB158" s="33"/>
      <c r="AC158" s="83"/>
      <c r="AD158" s="33"/>
      <c r="AE158" s="83"/>
      <c r="AF158" s="33"/>
      <c r="AG158" s="244"/>
      <c r="AH158" s="83"/>
      <c r="AI158" s="246"/>
      <c r="AJ158" s="102"/>
      <c r="AK158" s="92"/>
      <c r="AL158" s="91"/>
      <c r="AM158" s="92"/>
      <c r="AN158" s="351"/>
      <c r="AO158" s="197">
        <f t="shared" si="11"/>
        <v>0</v>
      </c>
      <c r="AP158" s="91"/>
      <c r="AQ158" s="217"/>
      <c r="AR158" s="196"/>
      <c r="AS158" s="265"/>
      <c r="AT158" s="94"/>
      <c r="AU158" s="84"/>
      <c r="AV158" s="136"/>
      <c r="AW158" s="81"/>
      <c r="AX158" s="137"/>
      <c r="AY158" s="138"/>
      <c r="AZ158" s="220">
        <f t="shared" si="8"/>
        <v>0</v>
      </c>
      <c r="BA158" s="220">
        <f t="shared" si="9"/>
        <v>0</v>
      </c>
    </row>
    <row r="159" spans="1:53" ht="50.1" customHeight="1" x14ac:dyDescent="0.25">
      <c r="A159" s="17">
        <f t="shared" si="10"/>
        <v>145</v>
      </c>
      <c r="B159" s="228"/>
      <c r="C159" s="221"/>
      <c r="D159" s="88"/>
      <c r="E159" s="100"/>
      <c r="F159" s="95"/>
      <c r="G159" s="114"/>
      <c r="H159" s="96"/>
      <c r="I159" s="97"/>
      <c r="J159" s="98"/>
      <c r="K159" s="101"/>
      <c r="L159" s="124"/>
      <c r="M159" s="333"/>
      <c r="N159" s="341"/>
      <c r="O159" s="190"/>
      <c r="P159" s="191"/>
      <c r="Q159" s="190"/>
      <c r="R159" s="191"/>
      <c r="S159" s="294"/>
      <c r="T159" s="300"/>
      <c r="U159" s="306"/>
      <c r="V159" s="308"/>
      <c r="W159" s="248"/>
      <c r="X159" s="342"/>
      <c r="Y159" s="337"/>
      <c r="Z159" s="123"/>
      <c r="AA159" s="83"/>
      <c r="AB159" s="123"/>
      <c r="AC159" s="83"/>
      <c r="AD159" s="123"/>
      <c r="AE159" s="83"/>
      <c r="AF159" s="123"/>
      <c r="AG159" s="243"/>
      <c r="AH159" s="33"/>
      <c r="AI159" s="245"/>
      <c r="AJ159" s="125"/>
      <c r="AK159" s="92"/>
      <c r="AL159" s="126"/>
      <c r="AM159" s="91"/>
      <c r="AN159" s="91"/>
      <c r="AO159" s="197">
        <f t="shared" si="11"/>
        <v>0</v>
      </c>
      <c r="AP159" s="126"/>
      <c r="AQ159" s="217"/>
      <c r="AR159" s="201"/>
      <c r="AS159" s="266"/>
      <c r="AT159" s="94"/>
      <c r="AU159" s="84"/>
      <c r="AV159" s="80"/>
      <c r="AW159" s="81"/>
      <c r="AX159" s="77"/>
      <c r="AY159" s="107"/>
      <c r="AZ159" s="220">
        <f t="shared" si="8"/>
        <v>0</v>
      </c>
      <c r="BA159" s="220">
        <f t="shared" si="9"/>
        <v>0</v>
      </c>
    </row>
    <row r="160" spans="1:53" ht="50.1" customHeight="1" x14ac:dyDescent="0.25">
      <c r="A160" s="17">
        <f t="shared" si="10"/>
        <v>146</v>
      </c>
      <c r="B160" s="229"/>
      <c r="C160" s="222"/>
      <c r="D160" s="112"/>
      <c r="E160" s="128"/>
      <c r="F160" s="183"/>
      <c r="G160" s="130"/>
      <c r="H160" s="131"/>
      <c r="I160" s="132"/>
      <c r="J160" s="189"/>
      <c r="K160" s="133"/>
      <c r="L160" s="134"/>
      <c r="M160" s="334"/>
      <c r="N160" s="343"/>
      <c r="O160" s="193"/>
      <c r="P160" s="191"/>
      <c r="Q160" s="193"/>
      <c r="R160" s="191"/>
      <c r="S160" s="296"/>
      <c r="T160" s="302"/>
      <c r="U160" s="306"/>
      <c r="V160" s="308"/>
      <c r="W160" s="249"/>
      <c r="X160" s="344"/>
      <c r="Y160" s="337"/>
      <c r="Z160" s="33"/>
      <c r="AA160" s="83"/>
      <c r="AB160" s="33"/>
      <c r="AC160" s="83"/>
      <c r="AD160" s="33"/>
      <c r="AE160" s="83"/>
      <c r="AF160" s="33"/>
      <c r="AG160" s="244"/>
      <c r="AH160" s="83"/>
      <c r="AI160" s="246"/>
      <c r="AJ160" s="102"/>
      <c r="AK160" s="92"/>
      <c r="AL160" s="91"/>
      <c r="AM160" s="92"/>
      <c r="AN160" s="351"/>
      <c r="AO160" s="197">
        <f t="shared" si="11"/>
        <v>0</v>
      </c>
      <c r="AP160" s="91"/>
      <c r="AQ160" s="217"/>
      <c r="AR160" s="196"/>
      <c r="AS160" s="265"/>
      <c r="AT160" s="94"/>
      <c r="AU160" s="84"/>
      <c r="AV160" s="136"/>
      <c r="AW160" s="81"/>
      <c r="AX160" s="137"/>
      <c r="AY160" s="138"/>
      <c r="AZ160" s="220">
        <f t="shared" si="8"/>
        <v>0</v>
      </c>
      <c r="BA160" s="220">
        <f t="shared" si="9"/>
        <v>0</v>
      </c>
    </row>
    <row r="161" spans="1:53" ht="50.1" customHeight="1" x14ac:dyDescent="0.25">
      <c r="A161" s="17">
        <f t="shared" si="10"/>
        <v>147</v>
      </c>
      <c r="B161" s="228"/>
      <c r="C161" s="221"/>
      <c r="D161" s="88"/>
      <c r="E161" s="100"/>
      <c r="F161" s="95"/>
      <c r="G161" s="114"/>
      <c r="H161" s="96"/>
      <c r="I161" s="97"/>
      <c r="J161" s="98"/>
      <c r="K161" s="101"/>
      <c r="L161" s="124"/>
      <c r="M161" s="333"/>
      <c r="N161" s="341"/>
      <c r="O161" s="190"/>
      <c r="P161" s="191"/>
      <c r="Q161" s="190"/>
      <c r="R161" s="191"/>
      <c r="S161" s="294"/>
      <c r="T161" s="300"/>
      <c r="U161" s="306"/>
      <c r="V161" s="308"/>
      <c r="W161" s="248"/>
      <c r="X161" s="345"/>
      <c r="Y161" s="337"/>
      <c r="Z161" s="123"/>
      <c r="AA161" s="83"/>
      <c r="AB161" s="123"/>
      <c r="AC161" s="83"/>
      <c r="AD161" s="123"/>
      <c r="AE161" s="83"/>
      <c r="AF161" s="123"/>
      <c r="AG161" s="243"/>
      <c r="AH161" s="123"/>
      <c r="AI161" s="245"/>
      <c r="AJ161" s="125"/>
      <c r="AK161" s="92"/>
      <c r="AL161" s="126"/>
      <c r="AM161" s="91"/>
      <c r="AN161" s="91"/>
      <c r="AO161" s="197">
        <f t="shared" si="11"/>
        <v>0</v>
      </c>
      <c r="AP161" s="126"/>
      <c r="AQ161" s="217"/>
      <c r="AR161" s="201"/>
      <c r="AS161" s="266"/>
      <c r="AT161" s="94"/>
      <c r="AU161" s="84"/>
      <c r="AV161" s="80"/>
      <c r="AW161" s="81"/>
      <c r="AX161" s="77"/>
      <c r="AY161" s="107"/>
      <c r="AZ161" s="220">
        <f t="shared" si="8"/>
        <v>0</v>
      </c>
      <c r="BA161" s="220">
        <f t="shared" si="9"/>
        <v>0</v>
      </c>
    </row>
    <row r="162" spans="1:53" ht="50.1" customHeight="1" x14ac:dyDescent="0.25">
      <c r="A162" s="17">
        <f t="shared" si="10"/>
        <v>148</v>
      </c>
      <c r="B162" s="229"/>
      <c r="C162" s="222"/>
      <c r="D162" s="112"/>
      <c r="E162" s="128"/>
      <c r="F162" s="183"/>
      <c r="G162" s="130"/>
      <c r="H162" s="131"/>
      <c r="I162" s="132"/>
      <c r="J162" s="189"/>
      <c r="K162" s="133"/>
      <c r="L162" s="134"/>
      <c r="M162" s="334"/>
      <c r="N162" s="343"/>
      <c r="O162" s="192"/>
      <c r="P162" s="191"/>
      <c r="Q162" s="192"/>
      <c r="R162" s="191"/>
      <c r="S162" s="295"/>
      <c r="T162" s="301"/>
      <c r="U162" s="306"/>
      <c r="V162" s="308"/>
      <c r="W162" s="249"/>
      <c r="X162" s="345"/>
      <c r="Y162" s="337"/>
      <c r="Z162" s="33"/>
      <c r="AA162" s="83"/>
      <c r="AB162" s="33"/>
      <c r="AC162" s="83"/>
      <c r="AD162" s="33"/>
      <c r="AE162" s="83"/>
      <c r="AF162" s="33"/>
      <c r="AG162" s="244"/>
      <c r="AH162" s="83"/>
      <c r="AI162" s="246"/>
      <c r="AJ162" s="102"/>
      <c r="AK162" s="92"/>
      <c r="AL162" s="91"/>
      <c r="AM162" s="92"/>
      <c r="AN162" s="351"/>
      <c r="AO162" s="197">
        <f t="shared" si="11"/>
        <v>0</v>
      </c>
      <c r="AP162" s="91"/>
      <c r="AQ162" s="217"/>
      <c r="AR162" s="196"/>
      <c r="AS162" s="265"/>
      <c r="AT162" s="94"/>
      <c r="AU162" s="84"/>
      <c r="AV162" s="136"/>
      <c r="AW162" s="81"/>
      <c r="AX162" s="137"/>
      <c r="AY162" s="138"/>
      <c r="AZ162" s="220">
        <f t="shared" si="8"/>
        <v>0</v>
      </c>
      <c r="BA162" s="220">
        <f t="shared" si="9"/>
        <v>0</v>
      </c>
    </row>
    <row r="163" spans="1:53" ht="50.1" customHeight="1" x14ac:dyDescent="0.25">
      <c r="A163" s="17">
        <f t="shared" si="10"/>
        <v>149</v>
      </c>
      <c r="B163" s="228"/>
      <c r="C163" s="221"/>
      <c r="D163" s="88"/>
      <c r="E163" s="100"/>
      <c r="F163" s="95"/>
      <c r="G163" s="114"/>
      <c r="H163" s="96"/>
      <c r="I163" s="97"/>
      <c r="J163" s="98"/>
      <c r="K163" s="101"/>
      <c r="L163" s="124"/>
      <c r="M163" s="333"/>
      <c r="N163" s="341"/>
      <c r="O163" s="190"/>
      <c r="P163" s="191"/>
      <c r="Q163" s="190"/>
      <c r="R163" s="191"/>
      <c r="S163" s="294"/>
      <c r="T163" s="300"/>
      <c r="U163" s="306"/>
      <c r="V163" s="308"/>
      <c r="W163" s="248"/>
      <c r="X163" s="345"/>
      <c r="Y163" s="337"/>
      <c r="Z163" s="123"/>
      <c r="AA163" s="83"/>
      <c r="AB163" s="123"/>
      <c r="AC163" s="83"/>
      <c r="AD163" s="123"/>
      <c r="AE163" s="83"/>
      <c r="AF163" s="123"/>
      <c r="AG163" s="243"/>
      <c r="AH163" s="123"/>
      <c r="AI163" s="245"/>
      <c r="AJ163" s="125"/>
      <c r="AK163" s="92"/>
      <c r="AL163" s="126"/>
      <c r="AM163" s="91"/>
      <c r="AN163" s="91"/>
      <c r="AO163" s="197">
        <f t="shared" si="11"/>
        <v>0</v>
      </c>
      <c r="AP163" s="126"/>
      <c r="AQ163" s="217"/>
      <c r="AR163" s="201"/>
      <c r="AS163" s="266"/>
      <c r="AT163" s="94"/>
      <c r="AU163" s="84"/>
      <c r="AV163" s="80"/>
      <c r="AW163" s="81"/>
      <c r="AX163" s="77"/>
      <c r="AY163" s="107"/>
      <c r="AZ163" s="220">
        <f t="shared" si="8"/>
        <v>0</v>
      </c>
      <c r="BA163" s="220">
        <f t="shared" si="9"/>
        <v>0</v>
      </c>
    </row>
    <row r="164" spans="1:53" ht="50.1" customHeight="1" x14ac:dyDescent="0.25">
      <c r="A164" s="17">
        <f t="shared" si="10"/>
        <v>150</v>
      </c>
      <c r="B164" s="229"/>
      <c r="C164" s="222"/>
      <c r="D164" s="112"/>
      <c r="E164" s="128"/>
      <c r="F164" s="183"/>
      <c r="G164" s="130"/>
      <c r="H164" s="131"/>
      <c r="I164" s="132"/>
      <c r="J164" s="189"/>
      <c r="K164" s="133"/>
      <c r="L164" s="134"/>
      <c r="M164" s="334"/>
      <c r="N164" s="343"/>
      <c r="O164" s="192"/>
      <c r="P164" s="191"/>
      <c r="Q164" s="192"/>
      <c r="R164" s="191"/>
      <c r="S164" s="295"/>
      <c r="T164" s="301"/>
      <c r="U164" s="306"/>
      <c r="V164" s="308"/>
      <c r="W164" s="249"/>
      <c r="X164" s="345"/>
      <c r="Y164" s="337"/>
      <c r="Z164" s="33"/>
      <c r="AA164" s="83"/>
      <c r="AB164" s="33"/>
      <c r="AC164" s="83"/>
      <c r="AD164" s="33"/>
      <c r="AE164" s="83"/>
      <c r="AF164" s="33"/>
      <c r="AG164" s="244"/>
      <c r="AH164" s="83"/>
      <c r="AI164" s="246"/>
      <c r="AJ164" s="102"/>
      <c r="AK164" s="92"/>
      <c r="AL164" s="91"/>
      <c r="AM164" s="92"/>
      <c r="AN164" s="351"/>
      <c r="AO164" s="197">
        <f t="shared" si="11"/>
        <v>0</v>
      </c>
      <c r="AP164" s="91"/>
      <c r="AQ164" s="217"/>
      <c r="AR164" s="196"/>
      <c r="AS164" s="265"/>
      <c r="AT164" s="94"/>
      <c r="AU164" s="84"/>
      <c r="AV164" s="136"/>
      <c r="AW164" s="81"/>
      <c r="AX164" s="137"/>
      <c r="AY164" s="138"/>
      <c r="AZ164" s="220">
        <f t="shared" si="8"/>
        <v>0</v>
      </c>
      <c r="BA164" s="220">
        <f t="shared" si="9"/>
        <v>0</v>
      </c>
    </row>
    <row r="165" spans="1:53" ht="50.1" customHeight="1" x14ac:dyDescent="0.25">
      <c r="A165" s="17">
        <f t="shared" si="10"/>
        <v>151</v>
      </c>
      <c r="B165" s="228"/>
      <c r="C165" s="221"/>
      <c r="D165" s="88"/>
      <c r="E165" s="100"/>
      <c r="F165" s="95"/>
      <c r="G165" s="114"/>
      <c r="H165" s="96"/>
      <c r="I165" s="97"/>
      <c r="J165" s="98"/>
      <c r="K165" s="101"/>
      <c r="L165" s="124"/>
      <c r="M165" s="333"/>
      <c r="N165" s="341"/>
      <c r="O165" s="190"/>
      <c r="P165" s="191"/>
      <c r="Q165" s="190"/>
      <c r="R165" s="191"/>
      <c r="S165" s="294"/>
      <c r="T165" s="300"/>
      <c r="U165" s="306"/>
      <c r="V165" s="308"/>
      <c r="W165" s="248"/>
      <c r="X165" s="342"/>
      <c r="Y165" s="337"/>
      <c r="Z165" s="123"/>
      <c r="AA165" s="83"/>
      <c r="AB165" s="123"/>
      <c r="AC165" s="83"/>
      <c r="AD165" s="123"/>
      <c r="AE165" s="83"/>
      <c r="AF165" s="123"/>
      <c r="AG165" s="243"/>
      <c r="AH165" s="33"/>
      <c r="AI165" s="245"/>
      <c r="AJ165" s="125"/>
      <c r="AK165" s="92"/>
      <c r="AL165" s="126"/>
      <c r="AM165" s="91"/>
      <c r="AN165" s="91"/>
      <c r="AO165" s="197">
        <f t="shared" si="11"/>
        <v>0</v>
      </c>
      <c r="AP165" s="126"/>
      <c r="AQ165" s="217"/>
      <c r="AR165" s="201"/>
      <c r="AS165" s="266"/>
      <c r="AT165" s="94"/>
      <c r="AU165" s="84"/>
      <c r="AV165" s="80"/>
      <c r="AW165" s="81"/>
      <c r="AX165" s="77"/>
      <c r="AY165" s="107"/>
      <c r="AZ165" s="220">
        <f t="shared" si="8"/>
        <v>0</v>
      </c>
      <c r="BA165" s="220">
        <f t="shared" si="9"/>
        <v>0</v>
      </c>
    </row>
    <row r="166" spans="1:53" ht="50.1" customHeight="1" x14ac:dyDescent="0.25">
      <c r="A166" s="17">
        <f t="shared" si="10"/>
        <v>152</v>
      </c>
      <c r="B166" s="229"/>
      <c r="C166" s="222"/>
      <c r="D166" s="112"/>
      <c r="E166" s="128"/>
      <c r="F166" s="183"/>
      <c r="G166" s="130"/>
      <c r="H166" s="131"/>
      <c r="I166" s="132"/>
      <c r="J166" s="189"/>
      <c r="K166" s="133"/>
      <c r="L166" s="134"/>
      <c r="M166" s="334"/>
      <c r="N166" s="343"/>
      <c r="O166" s="192"/>
      <c r="P166" s="191"/>
      <c r="Q166" s="192"/>
      <c r="R166" s="191"/>
      <c r="S166" s="295"/>
      <c r="T166" s="301"/>
      <c r="U166" s="306"/>
      <c r="V166" s="308"/>
      <c r="W166" s="249"/>
      <c r="X166" s="344"/>
      <c r="Y166" s="337"/>
      <c r="Z166" s="33"/>
      <c r="AA166" s="83"/>
      <c r="AB166" s="33"/>
      <c r="AC166" s="83"/>
      <c r="AD166" s="33"/>
      <c r="AE166" s="83"/>
      <c r="AF166" s="33"/>
      <c r="AG166" s="244"/>
      <c r="AH166" s="83"/>
      <c r="AI166" s="246"/>
      <c r="AJ166" s="102"/>
      <c r="AK166" s="92"/>
      <c r="AL166" s="91"/>
      <c r="AM166" s="92"/>
      <c r="AN166" s="351"/>
      <c r="AO166" s="197">
        <f t="shared" si="11"/>
        <v>0</v>
      </c>
      <c r="AP166" s="91"/>
      <c r="AQ166" s="217"/>
      <c r="AR166" s="196"/>
      <c r="AS166" s="265"/>
      <c r="AT166" s="94"/>
      <c r="AU166" s="84"/>
      <c r="AV166" s="136"/>
      <c r="AW166" s="81"/>
      <c r="AX166" s="137"/>
      <c r="AY166" s="138"/>
      <c r="AZ166" s="220">
        <f t="shared" si="8"/>
        <v>0</v>
      </c>
      <c r="BA166" s="220">
        <f t="shared" si="9"/>
        <v>0</v>
      </c>
    </row>
    <row r="167" spans="1:53" ht="50.1" customHeight="1" x14ac:dyDescent="0.25">
      <c r="A167" s="17">
        <f t="shared" si="10"/>
        <v>153</v>
      </c>
      <c r="B167" s="228"/>
      <c r="C167" s="221"/>
      <c r="D167" s="88"/>
      <c r="E167" s="100"/>
      <c r="F167" s="95"/>
      <c r="G167" s="114"/>
      <c r="H167" s="96"/>
      <c r="I167" s="97"/>
      <c r="J167" s="98"/>
      <c r="K167" s="101"/>
      <c r="L167" s="124"/>
      <c r="M167" s="333"/>
      <c r="N167" s="341"/>
      <c r="O167" s="190"/>
      <c r="P167" s="191"/>
      <c r="Q167" s="190"/>
      <c r="R167" s="191"/>
      <c r="S167" s="294"/>
      <c r="T167" s="300"/>
      <c r="U167" s="306"/>
      <c r="V167" s="308"/>
      <c r="W167" s="248"/>
      <c r="X167" s="342"/>
      <c r="Y167" s="337"/>
      <c r="Z167" s="123"/>
      <c r="AA167" s="83"/>
      <c r="AB167" s="123"/>
      <c r="AC167" s="83"/>
      <c r="AD167" s="123"/>
      <c r="AE167" s="83"/>
      <c r="AF167" s="123"/>
      <c r="AG167" s="243"/>
      <c r="AH167" s="33"/>
      <c r="AI167" s="245"/>
      <c r="AJ167" s="125"/>
      <c r="AK167" s="92"/>
      <c r="AL167" s="126"/>
      <c r="AM167" s="91"/>
      <c r="AN167" s="91"/>
      <c r="AO167" s="197">
        <f t="shared" si="11"/>
        <v>0</v>
      </c>
      <c r="AP167" s="126"/>
      <c r="AQ167" s="217"/>
      <c r="AR167" s="201"/>
      <c r="AS167" s="266"/>
      <c r="AT167" s="94"/>
      <c r="AU167" s="84"/>
      <c r="AV167" s="80"/>
      <c r="AW167" s="81"/>
      <c r="AX167" s="77"/>
      <c r="AY167" s="107"/>
      <c r="AZ167" s="220">
        <f t="shared" si="8"/>
        <v>0</v>
      </c>
      <c r="BA167" s="220">
        <f t="shared" si="9"/>
        <v>0</v>
      </c>
    </row>
    <row r="168" spans="1:53" ht="50.1" customHeight="1" x14ac:dyDescent="0.25">
      <c r="A168" s="17">
        <f t="shared" si="10"/>
        <v>154</v>
      </c>
      <c r="B168" s="229"/>
      <c r="C168" s="222"/>
      <c r="D168" s="112"/>
      <c r="E168" s="128"/>
      <c r="F168" s="183"/>
      <c r="G168" s="130"/>
      <c r="H168" s="131"/>
      <c r="I168" s="132"/>
      <c r="J168" s="189"/>
      <c r="K168" s="133"/>
      <c r="L168" s="134"/>
      <c r="M168" s="334"/>
      <c r="N168" s="343"/>
      <c r="O168" s="192"/>
      <c r="P168" s="191"/>
      <c r="Q168" s="192"/>
      <c r="R168" s="191"/>
      <c r="S168" s="295"/>
      <c r="T168" s="301"/>
      <c r="U168" s="306"/>
      <c r="V168" s="308"/>
      <c r="W168" s="249"/>
      <c r="X168" s="344"/>
      <c r="Y168" s="337"/>
      <c r="Z168" s="33"/>
      <c r="AA168" s="83"/>
      <c r="AB168" s="33"/>
      <c r="AC168" s="83"/>
      <c r="AD168" s="33"/>
      <c r="AE168" s="83"/>
      <c r="AF168" s="33"/>
      <c r="AG168" s="244"/>
      <c r="AH168" s="83"/>
      <c r="AI168" s="246"/>
      <c r="AJ168" s="102"/>
      <c r="AK168" s="92"/>
      <c r="AL168" s="91"/>
      <c r="AM168" s="92"/>
      <c r="AN168" s="351"/>
      <c r="AO168" s="197">
        <f t="shared" si="11"/>
        <v>0</v>
      </c>
      <c r="AP168" s="91"/>
      <c r="AQ168" s="217"/>
      <c r="AR168" s="196"/>
      <c r="AS168" s="265"/>
      <c r="AT168" s="94"/>
      <c r="AU168" s="84"/>
      <c r="AV168" s="136"/>
      <c r="AW168" s="81"/>
      <c r="AX168" s="137"/>
      <c r="AY168" s="138"/>
      <c r="AZ168" s="220">
        <f t="shared" si="8"/>
        <v>0</v>
      </c>
      <c r="BA168" s="220">
        <f t="shared" si="9"/>
        <v>0</v>
      </c>
    </row>
    <row r="169" spans="1:53" ht="50.1" customHeight="1" x14ac:dyDescent="0.25">
      <c r="A169" s="17">
        <f t="shared" si="10"/>
        <v>155</v>
      </c>
      <c r="B169" s="228"/>
      <c r="C169" s="221"/>
      <c r="D169" s="88"/>
      <c r="E169" s="100"/>
      <c r="F169" s="95"/>
      <c r="G169" s="114"/>
      <c r="H169" s="96"/>
      <c r="I169" s="97"/>
      <c r="J169" s="98"/>
      <c r="K169" s="101"/>
      <c r="L169" s="124"/>
      <c r="M169" s="333"/>
      <c r="N169" s="341"/>
      <c r="O169" s="190"/>
      <c r="P169" s="191"/>
      <c r="Q169" s="190"/>
      <c r="R169" s="191"/>
      <c r="S169" s="294"/>
      <c r="T169" s="300"/>
      <c r="U169" s="306"/>
      <c r="V169" s="308"/>
      <c r="W169" s="248"/>
      <c r="X169" s="342"/>
      <c r="Y169" s="337"/>
      <c r="Z169" s="123"/>
      <c r="AA169" s="83"/>
      <c r="AB169" s="123"/>
      <c r="AC169" s="83"/>
      <c r="AD169" s="123"/>
      <c r="AE169" s="83"/>
      <c r="AF169" s="123"/>
      <c r="AG169" s="243"/>
      <c r="AH169" s="33"/>
      <c r="AI169" s="245"/>
      <c r="AJ169" s="125"/>
      <c r="AK169" s="92"/>
      <c r="AL169" s="126"/>
      <c r="AM169" s="91"/>
      <c r="AN169" s="91"/>
      <c r="AO169" s="197">
        <f t="shared" si="11"/>
        <v>0</v>
      </c>
      <c r="AP169" s="126"/>
      <c r="AQ169" s="217"/>
      <c r="AR169" s="201"/>
      <c r="AS169" s="266"/>
      <c r="AT169" s="94"/>
      <c r="AU169" s="84"/>
      <c r="AV169" s="80"/>
      <c r="AW169" s="81"/>
      <c r="AX169" s="77"/>
      <c r="AY169" s="107"/>
      <c r="AZ169" s="220">
        <f t="shared" si="8"/>
        <v>0</v>
      </c>
      <c r="BA169" s="220">
        <f t="shared" si="9"/>
        <v>0</v>
      </c>
    </row>
    <row r="170" spans="1:53" ht="50.1" customHeight="1" x14ac:dyDescent="0.25">
      <c r="A170" s="17">
        <f t="shared" si="10"/>
        <v>156</v>
      </c>
      <c r="B170" s="229"/>
      <c r="C170" s="222"/>
      <c r="D170" s="112"/>
      <c r="E170" s="128"/>
      <c r="F170" s="183"/>
      <c r="G170" s="130"/>
      <c r="H170" s="131"/>
      <c r="I170" s="132"/>
      <c r="J170" s="189"/>
      <c r="K170" s="133"/>
      <c r="L170" s="134"/>
      <c r="M170" s="334"/>
      <c r="N170" s="343"/>
      <c r="O170" s="193"/>
      <c r="P170" s="191"/>
      <c r="Q170" s="193"/>
      <c r="R170" s="191"/>
      <c r="S170" s="296"/>
      <c r="T170" s="302"/>
      <c r="U170" s="306"/>
      <c r="V170" s="308"/>
      <c r="W170" s="249"/>
      <c r="X170" s="344"/>
      <c r="Y170" s="337"/>
      <c r="Z170" s="33"/>
      <c r="AA170" s="83"/>
      <c r="AB170" s="33"/>
      <c r="AC170" s="83"/>
      <c r="AD170" s="33"/>
      <c r="AE170" s="83"/>
      <c r="AF170" s="33"/>
      <c r="AG170" s="244"/>
      <c r="AH170" s="83"/>
      <c r="AI170" s="246"/>
      <c r="AJ170" s="195"/>
      <c r="AK170" s="92"/>
      <c r="AL170" s="91"/>
      <c r="AM170" s="92"/>
      <c r="AN170" s="351"/>
      <c r="AO170" s="197">
        <f t="shared" si="11"/>
        <v>0</v>
      </c>
      <c r="AP170" s="91"/>
      <c r="AQ170" s="217"/>
      <c r="AR170" s="196"/>
      <c r="AS170" s="265"/>
      <c r="AT170" s="94"/>
      <c r="AU170" s="84"/>
      <c r="AV170" s="136"/>
      <c r="AW170" s="81"/>
      <c r="AX170" s="137"/>
      <c r="AY170" s="138"/>
      <c r="AZ170" s="220">
        <f t="shared" si="8"/>
        <v>0</v>
      </c>
      <c r="BA170" s="220">
        <f t="shared" si="9"/>
        <v>0</v>
      </c>
    </row>
    <row r="171" spans="1:53" ht="50.1" customHeight="1" x14ac:dyDescent="0.25">
      <c r="A171" s="17">
        <f t="shared" si="10"/>
        <v>157</v>
      </c>
      <c r="B171" s="228"/>
      <c r="C171" s="221"/>
      <c r="D171" s="88"/>
      <c r="E171" s="100"/>
      <c r="F171" s="95"/>
      <c r="G171" s="114"/>
      <c r="H171" s="96"/>
      <c r="I171" s="97"/>
      <c r="J171" s="98"/>
      <c r="K171" s="101"/>
      <c r="L171" s="124"/>
      <c r="M171" s="333"/>
      <c r="N171" s="341"/>
      <c r="O171" s="190"/>
      <c r="P171" s="191"/>
      <c r="Q171" s="190"/>
      <c r="R171" s="191"/>
      <c r="S171" s="294"/>
      <c r="T171" s="300"/>
      <c r="U171" s="306"/>
      <c r="V171" s="308"/>
      <c r="W171" s="248"/>
      <c r="X171" s="342"/>
      <c r="Y171" s="337"/>
      <c r="Z171" s="123"/>
      <c r="AA171" s="83"/>
      <c r="AB171" s="123"/>
      <c r="AC171" s="83"/>
      <c r="AD171" s="123"/>
      <c r="AE171" s="83"/>
      <c r="AF171" s="123"/>
      <c r="AG171" s="243"/>
      <c r="AH171" s="33"/>
      <c r="AI171" s="245"/>
      <c r="AJ171" s="198"/>
      <c r="AK171" s="92"/>
      <c r="AL171" s="126"/>
      <c r="AM171" s="91"/>
      <c r="AN171" s="91"/>
      <c r="AO171" s="197">
        <f t="shared" si="11"/>
        <v>0</v>
      </c>
      <c r="AP171" s="126"/>
      <c r="AQ171" s="217"/>
      <c r="AR171" s="201"/>
      <c r="AS171" s="266"/>
      <c r="AT171" s="94"/>
      <c r="AU171" s="84"/>
      <c r="AV171" s="80"/>
      <c r="AW171" s="81"/>
      <c r="AX171" s="77"/>
      <c r="AY171" s="107"/>
      <c r="AZ171" s="220">
        <f t="shared" si="8"/>
        <v>0</v>
      </c>
      <c r="BA171" s="220">
        <f t="shared" si="9"/>
        <v>0</v>
      </c>
    </row>
    <row r="172" spans="1:53" ht="50.1" customHeight="1" x14ac:dyDescent="0.25">
      <c r="A172" s="17">
        <f t="shared" si="10"/>
        <v>158</v>
      </c>
      <c r="B172" s="229"/>
      <c r="C172" s="222"/>
      <c r="D172" s="112"/>
      <c r="E172" s="128"/>
      <c r="F172" s="183"/>
      <c r="G172" s="130"/>
      <c r="H172" s="131"/>
      <c r="I172" s="132"/>
      <c r="J172" s="189"/>
      <c r="K172" s="133"/>
      <c r="L172" s="134"/>
      <c r="M172" s="334"/>
      <c r="N172" s="343"/>
      <c r="O172" s="192"/>
      <c r="P172" s="191"/>
      <c r="Q172" s="192"/>
      <c r="R172" s="191"/>
      <c r="S172" s="295"/>
      <c r="T172" s="301"/>
      <c r="U172" s="306"/>
      <c r="V172" s="308"/>
      <c r="W172" s="249"/>
      <c r="X172" s="344"/>
      <c r="Y172" s="337"/>
      <c r="Z172" s="33"/>
      <c r="AA172" s="83"/>
      <c r="AB172" s="33"/>
      <c r="AC172" s="83"/>
      <c r="AD172" s="33"/>
      <c r="AE172" s="83"/>
      <c r="AF172" s="33"/>
      <c r="AG172" s="244"/>
      <c r="AH172" s="83"/>
      <c r="AI172" s="246"/>
      <c r="AJ172" s="195"/>
      <c r="AK172" s="92"/>
      <c r="AL172" s="91"/>
      <c r="AM172" s="92"/>
      <c r="AN172" s="351"/>
      <c r="AO172" s="197">
        <f t="shared" si="11"/>
        <v>0</v>
      </c>
      <c r="AP172" s="91"/>
      <c r="AQ172" s="217"/>
      <c r="AR172" s="196"/>
      <c r="AS172" s="265"/>
      <c r="AT172" s="94"/>
      <c r="AU172" s="84"/>
      <c r="AV172" s="136"/>
      <c r="AW172" s="81"/>
      <c r="AX172" s="137"/>
      <c r="AY172" s="138"/>
      <c r="AZ172" s="220">
        <f t="shared" si="8"/>
        <v>0</v>
      </c>
      <c r="BA172" s="220">
        <f t="shared" si="9"/>
        <v>0</v>
      </c>
    </row>
    <row r="173" spans="1:53" ht="50.1" customHeight="1" x14ac:dyDescent="0.25">
      <c r="A173" s="17">
        <f t="shared" si="10"/>
        <v>159</v>
      </c>
      <c r="B173" s="228"/>
      <c r="C173" s="221"/>
      <c r="D173" s="88"/>
      <c r="E173" s="100"/>
      <c r="F173" s="95"/>
      <c r="G173" s="114"/>
      <c r="H173" s="96"/>
      <c r="I173" s="97"/>
      <c r="J173" s="98"/>
      <c r="K173" s="101"/>
      <c r="L173" s="124"/>
      <c r="M173" s="333"/>
      <c r="N173" s="341"/>
      <c r="O173" s="190"/>
      <c r="P173" s="191"/>
      <c r="Q173" s="190"/>
      <c r="R173" s="191"/>
      <c r="S173" s="294"/>
      <c r="T173" s="300"/>
      <c r="U173" s="306"/>
      <c r="V173" s="308"/>
      <c r="W173" s="248"/>
      <c r="X173" s="342"/>
      <c r="Y173" s="337"/>
      <c r="Z173" s="123"/>
      <c r="AA173" s="83"/>
      <c r="AB173" s="123"/>
      <c r="AC173" s="83"/>
      <c r="AD173" s="123"/>
      <c r="AE173" s="83"/>
      <c r="AF173" s="123"/>
      <c r="AG173" s="243"/>
      <c r="AH173" s="33"/>
      <c r="AI173" s="245"/>
      <c r="AJ173" s="125"/>
      <c r="AK173" s="92"/>
      <c r="AL173" s="126"/>
      <c r="AM173" s="91"/>
      <c r="AN173" s="91"/>
      <c r="AO173" s="197">
        <f t="shared" si="11"/>
        <v>0</v>
      </c>
      <c r="AP173" s="126"/>
      <c r="AQ173" s="217"/>
      <c r="AR173" s="201"/>
      <c r="AS173" s="266"/>
      <c r="AT173" s="94"/>
      <c r="AU173" s="84"/>
      <c r="AV173" s="80"/>
      <c r="AW173" s="81"/>
      <c r="AX173" s="77"/>
      <c r="AY173" s="107"/>
      <c r="AZ173" s="220">
        <f t="shared" si="8"/>
        <v>0</v>
      </c>
      <c r="BA173" s="220">
        <f t="shared" si="9"/>
        <v>0</v>
      </c>
    </row>
    <row r="174" spans="1:53" ht="50.1" customHeight="1" x14ac:dyDescent="0.25">
      <c r="A174" s="17">
        <f t="shared" si="10"/>
        <v>160</v>
      </c>
      <c r="B174" s="229"/>
      <c r="C174" s="222"/>
      <c r="D174" s="112"/>
      <c r="E174" s="128"/>
      <c r="F174" s="183"/>
      <c r="G174" s="130"/>
      <c r="H174" s="131"/>
      <c r="I174" s="132"/>
      <c r="J174" s="189"/>
      <c r="K174" s="133"/>
      <c r="L174" s="134"/>
      <c r="M174" s="334"/>
      <c r="N174" s="343"/>
      <c r="O174" s="192"/>
      <c r="P174" s="191"/>
      <c r="Q174" s="192"/>
      <c r="R174" s="191"/>
      <c r="S174" s="295"/>
      <c r="T174" s="301"/>
      <c r="U174" s="306"/>
      <c r="V174" s="308"/>
      <c r="W174" s="249"/>
      <c r="X174" s="344"/>
      <c r="Y174" s="337"/>
      <c r="Z174" s="33"/>
      <c r="AA174" s="83"/>
      <c r="AB174" s="33"/>
      <c r="AC174" s="83"/>
      <c r="AD174" s="33"/>
      <c r="AE174" s="83"/>
      <c r="AF174" s="33"/>
      <c r="AG174" s="244"/>
      <c r="AH174" s="83"/>
      <c r="AI174" s="246"/>
      <c r="AJ174" s="102"/>
      <c r="AK174" s="92"/>
      <c r="AL174" s="91"/>
      <c r="AM174" s="92"/>
      <c r="AN174" s="351"/>
      <c r="AO174" s="197">
        <f t="shared" si="11"/>
        <v>0</v>
      </c>
      <c r="AP174" s="91"/>
      <c r="AQ174" s="217"/>
      <c r="AR174" s="196"/>
      <c r="AS174" s="265"/>
      <c r="AT174" s="94"/>
      <c r="AU174" s="84"/>
      <c r="AV174" s="136"/>
      <c r="AW174" s="81"/>
      <c r="AX174" s="137"/>
      <c r="AY174" s="138"/>
      <c r="AZ174" s="220">
        <f t="shared" si="8"/>
        <v>0</v>
      </c>
      <c r="BA174" s="220">
        <f t="shared" si="9"/>
        <v>0</v>
      </c>
    </row>
    <row r="175" spans="1:53" ht="50.1" customHeight="1" x14ac:dyDescent="0.25">
      <c r="A175" s="17">
        <f t="shared" si="10"/>
        <v>161</v>
      </c>
      <c r="B175" s="228"/>
      <c r="C175" s="221"/>
      <c r="D175" s="88"/>
      <c r="E175" s="100"/>
      <c r="F175" s="95"/>
      <c r="G175" s="114"/>
      <c r="H175" s="96"/>
      <c r="I175" s="97"/>
      <c r="J175" s="98"/>
      <c r="K175" s="101"/>
      <c r="L175" s="124"/>
      <c r="M175" s="333"/>
      <c r="N175" s="341"/>
      <c r="O175" s="190"/>
      <c r="P175" s="191"/>
      <c r="Q175" s="190"/>
      <c r="R175" s="191"/>
      <c r="S175" s="294"/>
      <c r="T175" s="300"/>
      <c r="U175" s="306"/>
      <c r="V175" s="308"/>
      <c r="W175" s="248"/>
      <c r="X175" s="342"/>
      <c r="Y175" s="337"/>
      <c r="Z175" s="123"/>
      <c r="AA175" s="83"/>
      <c r="AB175" s="123"/>
      <c r="AC175" s="83"/>
      <c r="AD175" s="123"/>
      <c r="AE175" s="83"/>
      <c r="AF175" s="123"/>
      <c r="AG175" s="243"/>
      <c r="AH175" s="33"/>
      <c r="AI175" s="245"/>
      <c r="AJ175" s="125"/>
      <c r="AK175" s="92"/>
      <c r="AL175" s="126"/>
      <c r="AM175" s="91"/>
      <c r="AN175" s="91"/>
      <c r="AO175" s="197">
        <f t="shared" si="11"/>
        <v>0</v>
      </c>
      <c r="AP175" s="126"/>
      <c r="AQ175" s="217"/>
      <c r="AR175" s="201"/>
      <c r="AS175" s="266"/>
      <c r="AT175" s="94"/>
      <c r="AU175" s="84"/>
      <c r="AV175" s="80"/>
      <c r="AW175" s="81"/>
      <c r="AX175" s="77"/>
      <c r="AY175" s="107"/>
      <c r="AZ175" s="220">
        <f t="shared" si="8"/>
        <v>0</v>
      </c>
      <c r="BA175" s="220">
        <f t="shared" si="9"/>
        <v>0</v>
      </c>
    </row>
    <row r="176" spans="1:53" ht="50.1" customHeight="1" x14ac:dyDescent="0.25">
      <c r="A176" s="17">
        <f t="shared" si="10"/>
        <v>162</v>
      </c>
      <c r="B176" s="229"/>
      <c r="C176" s="222"/>
      <c r="D176" s="112"/>
      <c r="E176" s="128"/>
      <c r="F176" s="183"/>
      <c r="G176" s="130"/>
      <c r="H176" s="131"/>
      <c r="I176" s="132"/>
      <c r="J176" s="189"/>
      <c r="K176" s="133"/>
      <c r="L176" s="134"/>
      <c r="M176" s="334"/>
      <c r="N176" s="343"/>
      <c r="O176" s="192"/>
      <c r="P176" s="191"/>
      <c r="Q176" s="192"/>
      <c r="R176" s="191"/>
      <c r="S176" s="295"/>
      <c r="T176" s="301"/>
      <c r="U176" s="306"/>
      <c r="V176" s="308"/>
      <c r="W176" s="249"/>
      <c r="X176" s="344"/>
      <c r="Y176" s="337"/>
      <c r="Z176" s="33"/>
      <c r="AA176" s="83"/>
      <c r="AB176" s="33"/>
      <c r="AC176" s="83"/>
      <c r="AD176" s="33"/>
      <c r="AE176" s="83"/>
      <c r="AF176" s="33"/>
      <c r="AG176" s="244"/>
      <c r="AH176" s="83"/>
      <c r="AI176" s="246"/>
      <c r="AJ176" s="102"/>
      <c r="AK176" s="92"/>
      <c r="AL176" s="91"/>
      <c r="AM176" s="92"/>
      <c r="AN176" s="351"/>
      <c r="AO176" s="197">
        <f t="shared" si="11"/>
        <v>0</v>
      </c>
      <c r="AP176" s="91"/>
      <c r="AQ176" s="217"/>
      <c r="AR176" s="83"/>
      <c r="AS176" s="267"/>
      <c r="AT176" s="94"/>
      <c r="AU176" s="84"/>
      <c r="AV176" s="136"/>
      <c r="AW176" s="81"/>
      <c r="AX176" s="137"/>
      <c r="AY176" s="138"/>
      <c r="AZ176" s="220">
        <f t="shared" si="8"/>
        <v>0</v>
      </c>
      <c r="BA176" s="220">
        <f t="shared" si="9"/>
        <v>0</v>
      </c>
    </row>
    <row r="177" spans="1:53" ht="50.1" customHeight="1" x14ac:dyDescent="0.25">
      <c r="A177" s="17">
        <f t="shared" si="10"/>
        <v>163</v>
      </c>
      <c r="B177" s="228"/>
      <c r="C177" s="221"/>
      <c r="D177" s="88"/>
      <c r="E177" s="100"/>
      <c r="F177" s="95"/>
      <c r="G177" s="114"/>
      <c r="H177" s="96"/>
      <c r="I177" s="97"/>
      <c r="J177" s="98"/>
      <c r="K177" s="101"/>
      <c r="L177" s="124"/>
      <c r="M177" s="333"/>
      <c r="N177" s="341"/>
      <c r="O177" s="190"/>
      <c r="P177" s="191"/>
      <c r="Q177" s="190"/>
      <c r="R177" s="191"/>
      <c r="S177" s="294"/>
      <c r="T177" s="300"/>
      <c r="U177" s="306"/>
      <c r="V177" s="308"/>
      <c r="W177" s="248"/>
      <c r="X177" s="342"/>
      <c r="Y177" s="337"/>
      <c r="Z177" s="123"/>
      <c r="AA177" s="83"/>
      <c r="AB177" s="123"/>
      <c r="AC177" s="83"/>
      <c r="AD177" s="123"/>
      <c r="AE177" s="83"/>
      <c r="AF177" s="123"/>
      <c r="AG177" s="243"/>
      <c r="AH177" s="33"/>
      <c r="AI177" s="245"/>
      <c r="AJ177" s="125"/>
      <c r="AK177" s="92"/>
      <c r="AL177" s="126"/>
      <c r="AM177" s="91"/>
      <c r="AN177" s="91"/>
      <c r="AO177" s="197">
        <f t="shared" si="11"/>
        <v>0</v>
      </c>
      <c r="AP177" s="126"/>
      <c r="AQ177" s="217"/>
      <c r="AR177" s="123"/>
      <c r="AS177" s="268"/>
      <c r="AT177" s="94"/>
      <c r="AU177" s="84"/>
      <c r="AV177" s="80"/>
      <c r="AW177" s="81"/>
      <c r="AX177" s="77"/>
      <c r="AY177" s="107"/>
      <c r="AZ177" s="220">
        <f t="shared" si="8"/>
        <v>0</v>
      </c>
      <c r="BA177" s="220">
        <f t="shared" si="9"/>
        <v>0</v>
      </c>
    </row>
    <row r="178" spans="1:53" ht="50.1" customHeight="1" x14ac:dyDescent="0.25">
      <c r="A178" s="17">
        <f t="shared" si="10"/>
        <v>164</v>
      </c>
      <c r="B178" s="229"/>
      <c r="C178" s="222"/>
      <c r="D178" s="112"/>
      <c r="E178" s="128"/>
      <c r="F178" s="183"/>
      <c r="G178" s="130"/>
      <c r="H178" s="131"/>
      <c r="I178" s="132"/>
      <c r="J178" s="189"/>
      <c r="K178" s="133"/>
      <c r="L178" s="134"/>
      <c r="M178" s="334"/>
      <c r="N178" s="343"/>
      <c r="O178" s="192"/>
      <c r="P178" s="191"/>
      <c r="Q178" s="192"/>
      <c r="R178" s="191"/>
      <c r="S178" s="295"/>
      <c r="T178" s="301"/>
      <c r="U178" s="306"/>
      <c r="V178" s="308"/>
      <c r="W178" s="249"/>
      <c r="X178" s="345"/>
      <c r="Y178" s="337"/>
      <c r="Z178" s="33"/>
      <c r="AA178" s="83"/>
      <c r="AB178" s="33"/>
      <c r="AC178" s="83"/>
      <c r="AD178" s="33"/>
      <c r="AE178" s="83"/>
      <c r="AF178" s="33"/>
      <c r="AG178" s="244"/>
      <c r="AH178" s="83"/>
      <c r="AI178" s="246"/>
      <c r="AJ178" s="102"/>
      <c r="AK178" s="92"/>
      <c r="AL178" s="91"/>
      <c r="AM178" s="92"/>
      <c r="AN178" s="351"/>
      <c r="AO178" s="197">
        <f t="shared" si="11"/>
        <v>0</v>
      </c>
      <c r="AP178" s="91"/>
      <c r="AQ178" s="217"/>
      <c r="AR178" s="83"/>
      <c r="AS178" s="267"/>
      <c r="AT178" s="94"/>
      <c r="AU178" s="84"/>
      <c r="AV178" s="136"/>
      <c r="AW178" s="81"/>
      <c r="AX178" s="137"/>
      <c r="AY178" s="138"/>
      <c r="AZ178" s="220">
        <f t="shared" si="8"/>
        <v>0</v>
      </c>
      <c r="BA178" s="220">
        <f t="shared" si="9"/>
        <v>0</v>
      </c>
    </row>
    <row r="179" spans="1:53" ht="50.1" customHeight="1" x14ac:dyDescent="0.25">
      <c r="A179" s="17">
        <f t="shared" si="10"/>
        <v>165</v>
      </c>
      <c r="B179" s="228"/>
      <c r="C179" s="221"/>
      <c r="D179" s="88"/>
      <c r="E179" s="100"/>
      <c r="F179" s="95"/>
      <c r="G179" s="114"/>
      <c r="H179" s="96"/>
      <c r="I179" s="97"/>
      <c r="J179" s="98"/>
      <c r="K179" s="101"/>
      <c r="L179" s="124"/>
      <c r="M179" s="333"/>
      <c r="N179" s="341"/>
      <c r="O179" s="190"/>
      <c r="P179" s="191"/>
      <c r="Q179" s="190"/>
      <c r="R179" s="191"/>
      <c r="S179" s="294"/>
      <c r="T179" s="300"/>
      <c r="U179" s="306"/>
      <c r="V179" s="308"/>
      <c r="W179" s="248"/>
      <c r="X179" s="345"/>
      <c r="Y179" s="337"/>
      <c r="Z179" s="123"/>
      <c r="AA179" s="83"/>
      <c r="AB179" s="123"/>
      <c r="AC179" s="83"/>
      <c r="AD179" s="123"/>
      <c r="AE179" s="83"/>
      <c r="AF179" s="123"/>
      <c r="AG179" s="243"/>
      <c r="AH179" s="123"/>
      <c r="AI179" s="245"/>
      <c r="AJ179" s="125"/>
      <c r="AK179" s="92"/>
      <c r="AL179" s="126"/>
      <c r="AM179" s="91"/>
      <c r="AN179" s="91"/>
      <c r="AO179" s="197">
        <f t="shared" si="11"/>
        <v>0</v>
      </c>
      <c r="AP179" s="126"/>
      <c r="AQ179" s="217"/>
      <c r="AR179" s="201"/>
      <c r="AS179" s="266"/>
      <c r="AT179" s="94"/>
      <c r="AU179" s="84"/>
      <c r="AV179" s="80"/>
      <c r="AW179" s="81"/>
      <c r="AX179" s="77"/>
      <c r="AY179" s="107"/>
      <c r="AZ179" s="220">
        <f t="shared" si="8"/>
        <v>0</v>
      </c>
      <c r="BA179" s="220">
        <f t="shared" si="9"/>
        <v>0</v>
      </c>
    </row>
    <row r="180" spans="1:53" ht="50.1" customHeight="1" x14ac:dyDescent="0.25">
      <c r="A180" s="17">
        <f t="shared" si="10"/>
        <v>166</v>
      </c>
      <c r="B180" s="229"/>
      <c r="C180" s="222"/>
      <c r="D180" s="112"/>
      <c r="E180" s="128"/>
      <c r="F180" s="183"/>
      <c r="G180" s="130"/>
      <c r="H180" s="131"/>
      <c r="I180" s="132"/>
      <c r="J180" s="189"/>
      <c r="K180" s="133"/>
      <c r="L180" s="134"/>
      <c r="M180" s="334"/>
      <c r="N180" s="343"/>
      <c r="O180" s="193"/>
      <c r="P180" s="191"/>
      <c r="Q180" s="193"/>
      <c r="R180" s="191"/>
      <c r="S180" s="296"/>
      <c r="T180" s="302"/>
      <c r="U180" s="306"/>
      <c r="V180" s="308"/>
      <c r="W180" s="249"/>
      <c r="X180" s="345"/>
      <c r="Y180" s="337"/>
      <c r="Z180" s="33"/>
      <c r="AA180" s="83"/>
      <c r="AB180" s="33"/>
      <c r="AC180" s="83"/>
      <c r="AD180" s="33"/>
      <c r="AE180" s="83"/>
      <c r="AF180" s="33"/>
      <c r="AG180" s="244"/>
      <c r="AH180" s="83"/>
      <c r="AI180" s="246"/>
      <c r="AJ180" s="102"/>
      <c r="AK180" s="92"/>
      <c r="AL180" s="91"/>
      <c r="AM180" s="92"/>
      <c r="AN180" s="351"/>
      <c r="AO180" s="197">
        <f t="shared" si="11"/>
        <v>0</v>
      </c>
      <c r="AP180" s="91"/>
      <c r="AQ180" s="217"/>
      <c r="AR180" s="83"/>
      <c r="AS180" s="267"/>
      <c r="AT180" s="94"/>
      <c r="AU180" s="84"/>
      <c r="AV180" s="136"/>
      <c r="AW180" s="81"/>
      <c r="AX180" s="137"/>
      <c r="AY180" s="138"/>
      <c r="AZ180" s="220">
        <f t="shared" si="8"/>
        <v>0</v>
      </c>
      <c r="BA180" s="220">
        <f t="shared" si="9"/>
        <v>0</v>
      </c>
    </row>
    <row r="181" spans="1:53" ht="50.1" customHeight="1" x14ac:dyDescent="0.25">
      <c r="A181" s="17">
        <f t="shared" si="10"/>
        <v>167</v>
      </c>
      <c r="B181" s="228"/>
      <c r="C181" s="221"/>
      <c r="D181" s="88"/>
      <c r="E181" s="100"/>
      <c r="F181" s="95"/>
      <c r="G181" s="114"/>
      <c r="H181" s="96"/>
      <c r="I181" s="97"/>
      <c r="J181" s="98"/>
      <c r="K181" s="101"/>
      <c r="L181" s="124"/>
      <c r="M181" s="333"/>
      <c r="N181" s="341"/>
      <c r="O181" s="190"/>
      <c r="P181" s="191"/>
      <c r="Q181" s="190"/>
      <c r="R181" s="191"/>
      <c r="S181" s="294"/>
      <c r="T181" s="300"/>
      <c r="U181" s="306"/>
      <c r="V181" s="308"/>
      <c r="W181" s="248"/>
      <c r="X181" s="342"/>
      <c r="Y181" s="337"/>
      <c r="Z181" s="123"/>
      <c r="AA181" s="83"/>
      <c r="AB181" s="123"/>
      <c r="AC181" s="83"/>
      <c r="AD181" s="123"/>
      <c r="AE181" s="83"/>
      <c r="AF181" s="123"/>
      <c r="AG181" s="243"/>
      <c r="AH181" s="33"/>
      <c r="AI181" s="245"/>
      <c r="AJ181" s="125"/>
      <c r="AK181" s="92"/>
      <c r="AL181" s="126"/>
      <c r="AM181" s="91"/>
      <c r="AN181" s="91"/>
      <c r="AO181" s="197">
        <f t="shared" si="11"/>
        <v>0</v>
      </c>
      <c r="AP181" s="126"/>
      <c r="AQ181" s="217"/>
      <c r="AR181" s="123"/>
      <c r="AS181" s="268"/>
      <c r="AT181" s="94"/>
      <c r="AU181" s="84"/>
      <c r="AV181" s="80"/>
      <c r="AW181" s="81"/>
      <c r="AX181" s="77"/>
      <c r="AY181" s="107"/>
      <c r="AZ181" s="220">
        <f t="shared" si="8"/>
        <v>0</v>
      </c>
      <c r="BA181" s="220">
        <f t="shared" si="9"/>
        <v>0</v>
      </c>
    </row>
    <row r="182" spans="1:53" ht="50.1" customHeight="1" x14ac:dyDescent="0.25">
      <c r="A182" s="17">
        <f t="shared" si="10"/>
        <v>168</v>
      </c>
      <c r="B182" s="229"/>
      <c r="C182" s="222"/>
      <c r="D182" s="112"/>
      <c r="E182" s="128"/>
      <c r="F182" s="183"/>
      <c r="G182" s="130"/>
      <c r="H182" s="131"/>
      <c r="I182" s="132"/>
      <c r="J182" s="189"/>
      <c r="K182" s="133"/>
      <c r="L182" s="134"/>
      <c r="M182" s="334"/>
      <c r="N182" s="343"/>
      <c r="O182" s="192"/>
      <c r="P182" s="191"/>
      <c r="Q182" s="192"/>
      <c r="R182" s="191"/>
      <c r="S182" s="295"/>
      <c r="T182" s="301"/>
      <c r="U182" s="306"/>
      <c r="V182" s="308"/>
      <c r="W182" s="249"/>
      <c r="X182" s="344"/>
      <c r="Y182" s="337"/>
      <c r="Z182" s="33"/>
      <c r="AA182" s="83"/>
      <c r="AB182" s="33"/>
      <c r="AC182" s="83"/>
      <c r="AD182" s="33"/>
      <c r="AE182" s="83"/>
      <c r="AF182" s="33"/>
      <c r="AG182" s="244"/>
      <c r="AH182" s="83"/>
      <c r="AI182" s="246"/>
      <c r="AJ182" s="102"/>
      <c r="AK182" s="92"/>
      <c r="AL182" s="91"/>
      <c r="AM182" s="92"/>
      <c r="AN182" s="351"/>
      <c r="AO182" s="197">
        <f t="shared" si="11"/>
        <v>0</v>
      </c>
      <c r="AP182" s="91"/>
      <c r="AQ182" s="217"/>
      <c r="AR182" s="83"/>
      <c r="AS182" s="267"/>
      <c r="AT182" s="94"/>
      <c r="AU182" s="84"/>
      <c r="AV182" s="136"/>
      <c r="AW182" s="81"/>
      <c r="AX182" s="137"/>
      <c r="AY182" s="138"/>
      <c r="AZ182" s="220">
        <f t="shared" si="8"/>
        <v>0</v>
      </c>
      <c r="BA182" s="220">
        <f t="shared" si="9"/>
        <v>0</v>
      </c>
    </row>
    <row r="183" spans="1:53" ht="50.1" customHeight="1" x14ac:dyDescent="0.25">
      <c r="A183" s="17">
        <f t="shared" si="10"/>
        <v>169</v>
      </c>
      <c r="B183" s="228"/>
      <c r="C183" s="221"/>
      <c r="D183" s="88"/>
      <c r="E183" s="100"/>
      <c r="F183" s="95"/>
      <c r="G183" s="114"/>
      <c r="H183" s="96"/>
      <c r="I183" s="97"/>
      <c r="J183" s="98"/>
      <c r="K183" s="101"/>
      <c r="L183" s="124"/>
      <c r="M183" s="333"/>
      <c r="N183" s="341"/>
      <c r="O183" s="190"/>
      <c r="P183" s="191"/>
      <c r="Q183" s="190"/>
      <c r="R183" s="191"/>
      <c r="S183" s="294"/>
      <c r="T183" s="300"/>
      <c r="U183" s="306"/>
      <c r="V183" s="308"/>
      <c r="W183" s="248"/>
      <c r="X183" s="342"/>
      <c r="Y183" s="337"/>
      <c r="Z183" s="123"/>
      <c r="AA183" s="83"/>
      <c r="AB183" s="123"/>
      <c r="AC183" s="83"/>
      <c r="AD183" s="123"/>
      <c r="AE183" s="83"/>
      <c r="AF183" s="123"/>
      <c r="AG183" s="243"/>
      <c r="AH183" s="33"/>
      <c r="AI183" s="245"/>
      <c r="AJ183" s="125"/>
      <c r="AK183" s="92"/>
      <c r="AL183" s="126"/>
      <c r="AM183" s="91"/>
      <c r="AN183" s="91"/>
      <c r="AO183" s="197">
        <f t="shared" si="11"/>
        <v>0</v>
      </c>
      <c r="AP183" s="126"/>
      <c r="AQ183" s="217"/>
      <c r="AR183" s="201"/>
      <c r="AS183" s="266"/>
      <c r="AT183" s="94"/>
      <c r="AU183" s="84"/>
      <c r="AV183" s="80"/>
      <c r="AW183" s="81"/>
      <c r="AX183" s="77"/>
      <c r="AY183" s="107"/>
      <c r="AZ183" s="220">
        <f t="shared" si="8"/>
        <v>0</v>
      </c>
      <c r="BA183" s="220">
        <f t="shared" si="9"/>
        <v>0</v>
      </c>
    </row>
    <row r="184" spans="1:53" ht="50.1" customHeight="1" x14ac:dyDescent="0.25">
      <c r="A184" s="17">
        <f t="shared" si="10"/>
        <v>170</v>
      </c>
      <c r="B184" s="229"/>
      <c r="C184" s="222"/>
      <c r="D184" s="112"/>
      <c r="E184" s="128"/>
      <c r="F184" s="183"/>
      <c r="G184" s="130"/>
      <c r="H184" s="131"/>
      <c r="I184" s="132"/>
      <c r="J184" s="189"/>
      <c r="K184" s="133"/>
      <c r="L184" s="134"/>
      <c r="M184" s="334"/>
      <c r="N184" s="343"/>
      <c r="O184" s="192"/>
      <c r="P184" s="191"/>
      <c r="Q184" s="192"/>
      <c r="R184" s="191"/>
      <c r="S184" s="295"/>
      <c r="T184" s="301"/>
      <c r="U184" s="306"/>
      <c r="V184" s="308"/>
      <c r="W184" s="249"/>
      <c r="X184" s="344"/>
      <c r="Y184" s="337"/>
      <c r="Z184" s="33"/>
      <c r="AA184" s="83"/>
      <c r="AB184" s="33"/>
      <c r="AC184" s="83"/>
      <c r="AD184" s="33"/>
      <c r="AE184" s="83"/>
      <c r="AF184" s="33"/>
      <c r="AG184" s="244"/>
      <c r="AH184" s="83"/>
      <c r="AI184" s="246"/>
      <c r="AJ184" s="102"/>
      <c r="AK184" s="92"/>
      <c r="AL184" s="91"/>
      <c r="AM184" s="92"/>
      <c r="AN184" s="351"/>
      <c r="AO184" s="197">
        <f t="shared" si="11"/>
        <v>0</v>
      </c>
      <c r="AP184" s="91"/>
      <c r="AQ184" s="217"/>
      <c r="AR184" s="83"/>
      <c r="AS184" s="267"/>
      <c r="AT184" s="94"/>
      <c r="AU184" s="84"/>
      <c r="AV184" s="136"/>
      <c r="AW184" s="81"/>
      <c r="AX184" s="137"/>
      <c r="AY184" s="138"/>
      <c r="AZ184" s="220">
        <f t="shared" si="8"/>
        <v>0</v>
      </c>
      <c r="BA184" s="220">
        <f t="shared" si="9"/>
        <v>0</v>
      </c>
    </row>
    <row r="185" spans="1:53" ht="50.1" customHeight="1" x14ac:dyDescent="0.25">
      <c r="A185" s="17">
        <f t="shared" si="10"/>
        <v>171</v>
      </c>
      <c r="B185" s="228"/>
      <c r="C185" s="221"/>
      <c r="D185" s="88"/>
      <c r="E185" s="100"/>
      <c r="F185" s="95"/>
      <c r="G185" s="114"/>
      <c r="H185" s="96"/>
      <c r="I185" s="97"/>
      <c r="J185" s="98"/>
      <c r="K185" s="101"/>
      <c r="L185" s="124"/>
      <c r="M185" s="333"/>
      <c r="N185" s="341"/>
      <c r="O185" s="190"/>
      <c r="P185" s="191"/>
      <c r="Q185" s="190"/>
      <c r="R185" s="191"/>
      <c r="S185" s="294"/>
      <c r="T185" s="300"/>
      <c r="U185" s="306"/>
      <c r="V185" s="308"/>
      <c r="W185" s="248"/>
      <c r="X185" s="342"/>
      <c r="Y185" s="337"/>
      <c r="Z185" s="123"/>
      <c r="AA185" s="83"/>
      <c r="AB185" s="123"/>
      <c r="AC185" s="83"/>
      <c r="AD185" s="123"/>
      <c r="AE185" s="83"/>
      <c r="AF185" s="123"/>
      <c r="AG185" s="243"/>
      <c r="AH185" s="33"/>
      <c r="AI185" s="245"/>
      <c r="AJ185" s="125"/>
      <c r="AK185" s="92"/>
      <c r="AL185" s="126"/>
      <c r="AM185" s="91"/>
      <c r="AN185" s="91"/>
      <c r="AO185" s="197">
        <f t="shared" si="11"/>
        <v>0</v>
      </c>
      <c r="AP185" s="126"/>
      <c r="AQ185" s="217"/>
      <c r="AR185" s="201"/>
      <c r="AS185" s="266"/>
      <c r="AT185" s="94"/>
      <c r="AU185" s="84"/>
      <c r="AV185" s="80"/>
      <c r="AW185" s="81"/>
      <c r="AX185" s="77"/>
      <c r="AY185" s="107"/>
      <c r="AZ185" s="220">
        <f t="shared" si="8"/>
        <v>0</v>
      </c>
      <c r="BA185" s="220">
        <f t="shared" si="9"/>
        <v>0</v>
      </c>
    </row>
    <row r="186" spans="1:53" ht="50.1" customHeight="1" x14ac:dyDescent="0.25">
      <c r="A186" s="17">
        <f t="shared" si="10"/>
        <v>172</v>
      </c>
      <c r="B186" s="229"/>
      <c r="C186" s="222"/>
      <c r="D186" s="112"/>
      <c r="E186" s="128"/>
      <c r="F186" s="183"/>
      <c r="G186" s="130"/>
      <c r="H186" s="131"/>
      <c r="I186" s="132"/>
      <c r="J186" s="189"/>
      <c r="K186" s="133"/>
      <c r="L186" s="134"/>
      <c r="M186" s="334"/>
      <c r="N186" s="343"/>
      <c r="O186" s="192"/>
      <c r="P186" s="191"/>
      <c r="Q186" s="192"/>
      <c r="R186" s="191"/>
      <c r="S186" s="295"/>
      <c r="T186" s="301"/>
      <c r="U186" s="306"/>
      <c r="V186" s="308"/>
      <c r="W186" s="249"/>
      <c r="X186" s="344"/>
      <c r="Y186" s="337"/>
      <c r="Z186" s="33"/>
      <c r="AA186" s="83"/>
      <c r="AB186" s="33"/>
      <c r="AC186" s="83"/>
      <c r="AD186" s="33"/>
      <c r="AE186" s="83"/>
      <c r="AF186" s="33"/>
      <c r="AG186" s="244"/>
      <c r="AH186" s="83"/>
      <c r="AI186" s="246"/>
      <c r="AJ186" s="102"/>
      <c r="AK186" s="92"/>
      <c r="AL186" s="91"/>
      <c r="AM186" s="92"/>
      <c r="AN186" s="351"/>
      <c r="AO186" s="197">
        <f t="shared" si="11"/>
        <v>0</v>
      </c>
      <c r="AP186" s="91"/>
      <c r="AQ186" s="217"/>
      <c r="AR186" s="83"/>
      <c r="AS186" s="267"/>
      <c r="AT186" s="94"/>
      <c r="AU186" s="84"/>
      <c r="AV186" s="136"/>
      <c r="AW186" s="81"/>
      <c r="AX186" s="137"/>
      <c r="AY186" s="138"/>
      <c r="AZ186" s="220">
        <f t="shared" si="8"/>
        <v>0</v>
      </c>
      <c r="BA186" s="220">
        <f t="shared" si="9"/>
        <v>0</v>
      </c>
    </row>
    <row r="187" spans="1:53" ht="50.1" customHeight="1" x14ac:dyDescent="0.25">
      <c r="A187" s="17">
        <f t="shared" si="10"/>
        <v>173</v>
      </c>
      <c r="B187" s="228"/>
      <c r="C187" s="221"/>
      <c r="D187" s="88"/>
      <c r="E187" s="100"/>
      <c r="F187" s="95"/>
      <c r="G187" s="114"/>
      <c r="H187" s="96"/>
      <c r="I187" s="97"/>
      <c r="J187" s="98"/>
      <c r="K187" s="101"/>
      <c r="L187" s="124"/>
      <c r="M187" s="333"/>
      <c r="N187" s="341"/>
      <c r="O187" s="190"/>
      <c r="P187" s="191"/>
      <c r="Q187" s="190"/>
      <c r="R187" s="191"/>
      <c r="S187" s="294"/>
      <c r="T187" s="300"/>
      <c r="U187" s="306"/>
      <c r="V187" s="308"/>
      <c r="W187" s="248"/>
      <c r="X187" s="342"/>
      <c r="Y187" s="337"/>
      <c r="Z187" s="123"/>
      <c r="AA187" s="83"/>
      <c r="AB187" s="123"/>
      <c r="AC187" s="83"/>
      <c r="AD187" s="123"/>
      <c r="AE187" s="83"/>
      <c r="AF187" s="123"/>
      <c r="AG187" s="243"/>
      <c r="AH187" s="33"/>
      <c r="AI187" s="245"/>
      <c r="AJ187" s="125"/>
      <c r="AK187" s="92"/>
      <c r="AL187" s="126"/>
      <c r="AM187" s="91"/>
      <c r="AN187" s="91"/>
      <c r="AO187" s="197">
        <f t="shared" si="11"/>
        <v>0</v>
      </c>
      <c r="AP187" s="126"/>
      <c r="AQ187" s="217"/>
      <c r="AR187" s="201"/>
      <c r="AS187" s="266"/>
      <c r="AT187" s="94"/>
      <c r="AU187" s="84"/>
      <c r="AV187" s="80"/>
      <c r="AW187" s="81"/>
      <c r="AX187" s="77"/>
      <c r="AY187" s="107"/>
      <c r="AZ187" s="220">
        <f t="shared" si="8"/>
        <v>0</v>
      </c>
      <c r="BA187" s="220">
        <f t="shared" si="9"/>
        <v>0</v>
      </c>
    </row>
    <row r="188" spans="1:53" ht="50.1" customHeight="1" x14ac:dyDescent="0.25">
      <c r="A188" s="17">
        <f t="shared" si="10"/>
        <v>174</v>
      </c>
      <c r="B188" s="229"/>
      <c r="C188" s="222"/>
      <c r="D188" s="112"/>
      <c r="E188" s="128"/>
      <c r="F188" s="183"/>
      <c r="G188" s="130"/>
      <c r="H188" s="131"/>
      <c r="I188" s="132"/>
      <c r="J188" s="189"/>
      <c r="K188" s="133"/>
      <c r="L188" s="134"/>
      <c r="M188" s="334"/>
      <c r="N188" s="343"/>
      <c r="O188" s="192"/>
      <c r="P188" s="191"/>
      <c r="Q188" s="192"/>
      <c r="R188" s="191"/>
      <c r="S188" s="295"/>
      <c r="T188" s="301"/>
      <c r="U188" s="306"/>
      <c r="V188" s="308"/>
      <c r="W188" s="249"/>
      <c r="X188" s="344"/>
      <c r="Y188" s="337"/>
      <c r="Z188" s="33"/>
      <c r="AA188" s="83"/>
      <c r="AB188" s="33"/>
      <c r="AC188" s="83"/>
      <c r="AD188" s="33"/>
      <c r="AE188" s="83"/>
      <c r="AF188" s="33"/>
      <c r="AG188" s="244"/>
      <c r="AH188" s="83"/>
      <c r="AI188" s="246"/>
      <c r="AJ188" s="195"/>
      <c r="AK188" s="92"/>
      <c r="AL188" s="91"/>
      <c r="AM188" s="92"/>
      <c r="AN188" s="351"/>
      <c r="AO188" s="197">
        <f t="shared" si="11"/>
        <v>0</v>
      </c>
      <c r="AP188" s="91"/>
      <c r="AQ188" s="217"/>
      <c r="AR188" s="83"/>
      <c r="AS188" s="267"/>
      <c r="AT188" s="94"/>
      <c r="AU188" s="84"/>
      <c r="AV188" s="136"/>
      <c r="AW188" s="81"/>
      <c r="AX188" s="137"/>
      <c r="AY188" s="138"/>
      <c r="AZ188" s="220">
        <f t="shared" si="8"/>
        <v>0</v>
      </c>
      <c r="BA188" s="220">
        <f t="shared" si="9"/>
        <v>0</v>
      </c>
    </row>
    <row r="189" spans="1:53" ht="50.1" customHeight="1" x14ac:dyDescent="0.25">
      <c r="A189" s="17">
        <f t="shared" si="10"/>
        <v>175</v>
      </c>
      <c r="B189" s="228"/>
      <c r="C189" s="221"/>
      <c r="D189" s="88"/>
      <c r="E189" s="100"/>
      <c r="F189" s="95"/>
      <c r="G189" s="114"/>
      <c r="H189" s="96"/>
      <c r="I189" s="97"/>
      <c r="J189" s="98"/>
      <c r="K189" s="101"/>
      <c r="L189" s="124"/>
      <c r="M189" s="333"/>
      <c r="N189" s="341"/>
      <c r="O189" s="190"/>
      <c r="P189" s="191"/>
      <c r="Q189" s="190"/>
      <c r="R189" s="191"/>
      <c r="S189" s="294"/>
      <c r="T189" s="300"/>
      <c r="U189" s="306"/>
      <c r="V189" s="308"/>
      <c r="W189" s="248"/>
      <c r="X189" s="345"/>
      <c r="Y189" s="337"/>
      <c r="Z189" s="123"/>
      <c r="AA189" s="83"/>
      <c r="AB189" s="123"/>
      <c r="AC189" s="83"/>
      <c r="AD189" s="123"/>
      <c r="AE189" s="83"/>
      <c r="AF189" s="123"/>
      <c r="AG189" s="243"/>
      <c r="AH189" s="123"/>
      <c r="AI189" s="245"/>
      <c r="AJ189" s="125"/>
      <c r="AK189" s="92"/>
      <c r="AL189" s="126"/>
      <c r="AM189" s="91"/>
      <c r="AN189" s="91"/>
      <c r="AO189" s="197">
        <f t="shared" si="11"/>
        <v>0</v>
      </c>
      <c r="AP189" s="126"/>
      <c r="AQ189" s="217"/>
      <c r="AR189" s="201"/>
      <c r="AS189" s="266"/>
      <c r="AT189" s="94"/>
      <c r="AU189" s="84"/>
      <c r="AV189" s="80"/>
      <c r="AW189" s="81"/>
      <c r="AX189" s="77"/>
      <c r="AY189" s="107"/>
      <c r="AZ189" s="220">
        <f t="shared" si="8"/>
        <v>0</v>
      </c>
      <c r="BA189" s="220">
        <f t="shared" si="9"/>
        <v>0</v>
      </c>
    </row>
    <row r="190" spans="1:53" ht="50.1" customHeight="1" x14ac:dyDescent="0.25">
      <c r="A190" s="17">
        <f t="shared" si="10"/>
        <v>176</v>
      </c>
      <c r="B190" s="229"/>
      <c r="C190" s="222"/>
      <c r="D190" s="112"/>
      <c r="E190" s="128"/>
      <c r="F190" s="183"/>
      <c r="G190" s="130"/>
      <c r="H190" s="131"/>
      <c r="I190" s="132"/>
      <c r="J190" s="189"/>
      <c r="K190" s="133"/>
      <c r="L190" s="134"/>
      <c r="M190" s="334"/>
      <c r="N190" s="343"/>
      <c r="O190" s="192"/>
      <c r="P190" s="191"/>
      <c r="Q190" s="192"/>
      <c r="R190" s="191"/>
      <c r="S190" s="295"/>
      <c r="T190" s="301"/>
      <c r="U190" s="306"/>
      <c r="V190" s="308"/>
      <c r="W190" s="249"/>
      <c r="X190" s="344"/>
      <c r="Y190" s="337"/>
      <c r="Z190" s="33"/>
      <c r="AA190" s="83"/>
      <c r="AB190" s="33"/>
      <c r="AC190" s="83"/>
      <c r="AD190" s="33"/>
      <c r="AE190" s="83"/>
      <c r="AF190" s="33"/>
      <c r="AG190" s="244"/>
      <c r="AH190" s="83"/>
      <c r="AI190" s="246"/>
      <c r="AJ190" s="102"/>
      <c r="AK190" s="92"/>
      <c r="AL190" s="91"/>
      <c r="AM190" s="92"/>
      <c r="AN190" s="351"/>
      <c r="AO190" s="197">
        <f t="shared" si="11"/>
        <v>0</v>
      </c>
      <c r="AP190" s="91"/>
      <c r="AQ190" s="217"/>
      <c r="AR190" s="83"/>
      <c r="AS190" s="267"/>
      <c r="AT190" s="94"/>
      <c r="AU190" s="84"/>
      <c r="AV190" s="136"/>
      <c r="AW190" s="81"/>
      <c r="AX190" s="137"/>
      <c r="AY190" s="138"/>
      <c r="AZ190" s="220">
        <f t="shared" si="8"/>
        <v>0</v>
      </c>
      <c r="BA190" s="220">
        <f t="shared" si="9"/>
        <v>0</v>
      </c>
    </row>
    <row r="191" spans="1:53" ht="50.1" customHeight="1" x14ac:dyDescent="0.25">
      <c r="A191" s="17">
        <f t="shared" si="10"/>
        <v>177</v>
      </c>
      <c r="B191" s="228"/>
      <c r="C191" s="221"/>
      <c r="D191" s="88"/>
      <c r="E191" s="100"/>
      <c r="F191" s="95"/>
      <c r="G191" s="114"/>
      <c r="H191" s="96"/>
      <c r="I191" s="97"/>
      <c r="J191" s="98"/>
      <c r="K191" s="101"/>
      <c r="L191" s="124"/>
      <c r="M191" s="333"/>
      <c r="N191" s="341"/>
      <c r="O191" s="190"/>
      <c r="P191" s="191"/>
      <c r="Q191" s="190"/>
      <c r="R191" s="191"/>
      <c r="S191" s="294"/>
      <c r="T191" s="300"/>
      <c r="U191" s="306"/>
      <c r="V191" s="308"/>
      <c r="W191" s="248"/>
      <c r="X191" s="342"/>
      <c r="Y191" s="337"/>
      <c r="Z191" s="123"/>
      <c r="AA191" s="83"/>
      <c r="AB191" s="123"/>
      <c r="AC191" s="83"/>
      <c r="AD191" s="123"/>
      <c r="AE191" s="83"/>
      <c r="AF191" s="123"/>
      <c r="AG191" s="243"/>
      <c r="AH191" s="33"/>
      <c r="AI191" s="245"/>
      <c r="AJ191" s="125"/>
      <c r="AK191" s="92"/>
      <c r="AL191" s="126"/>
      <c r="AM191" s="91"/>
      <c r="AN191" s="91"/>
      <c r="AO191" s="197">
        <f t="shared" si="11"/>
        <v>0</v>
      </c>
      <c r="AP191" s="126"/>
      <c r="AQ191" s="217"/>
      <c r="AR191" s="123"/>
      <c r="AS191" s="268"/>
      <c r="AT191" s="94"/>
      <c r="AU191" s="84"/>
      <c r="AV191" s="80"/>
      <c r="AW191" s="81"/>
      <c r="AX191" s="77"/>
      <c r="AY191" s="107"/>
      <c r="AZ191" s="220">
        <f t="shared" si="8"/>
        <v>0</v>
      </c>
      <c r="BA191" s="220">
        <f t="shared" si="9"/>
        <v>0</v>
      </c>
    </row>
    <row r="192" spans="1:53" ht="50.1" customHeight="1" x14ac:dyDescent="0.25">
      <c r="A192" s="17">
        <f t="shared" si="10"/>
        <v>178</v>
      </c>
      <c r="B192" s="229"/>
      <c r="C192" s="222"/>
      <c r="D192" s="112"/>
      <c r="E192" s="128"/>
      <c r="F192" s="183"/>
      <c r="G192" s="130"/>
      <c r="H192" s="131"/>
      <c r="I192" s="132"/>
      <c r="J192" s="189"/>
      <c r="K192" s="133"/>
      <c r="L192" s="134"/>
      <c r="M192" s="334"/>
      <c r="N192" s="343"/>
      <c r="O192" s="193"/>
      <c r="P192" s="191"/>
      <c r="Q192" s="193"/>
      <c r="R192" s="191"/>
      <c r="S192" s="296"/>
      <c r="T192" s="302"/>
      <c r="U192" s="306"/>
      <c r="V192" s="308"/>
      <c r="W192" s="249"/>
      <c r="X192" s="344"/>
      <c r="Y192" s="337"/>
      <c r="Z192" s="33"/>
      <c r="AA192" s="83"/>
      <c r="AB192" s="33"/>
      <c r="AC192" s="83"/>
      <c r="AD192" s="33"/>
      <c r="AE192" s="83"/>
      <c r="AF192" s="33"/>
      <c r="AG192" s="244"/>
      <c r="AH192" s="83"/>
      <c r="AI192" s="246"/>
      <c r="AJ192" s="102"/>
      <c r="AK192" s="92"/>
      <c r="AL192" s="91"/>
      <c r="AM192" s="92"/>
      <c r="AN192" s="351"/>
      <c r="AO192" s="197">
        <f t="shared" si="11"/>
        <v>0</v>
      </c>
      <c r="AP192" s="91"/>
      <c r="AQ192" s="217"/>
      <c r="AR192" s="83"/>
      <c r="AS192" s="267"/>
      <c r="AT192" s="94"/>
      <c r="AU192" s="84"/>
      <c r="AV192" s="136"/>
      <c r="AW192" s="81"/>
      <c r="AX192" s="137"/>
      <c r="AY192" s="138"/>
      <c r="AZ192" s="220">
        <f t="shared" si="8"/>
        <v>0</v>
      </c>
      <c r="BA192" s="220">
        <f t="shared" si="9"/>
        <v>0</v>
      </c>
    </row>
    <row r="193" spans="1:53" ht="50.1" customHeight="1" x14ac:dyDescent="0.25">
      <c r="A193" s="17">
        <f t="shared" si="10"/>
        <v>179</v>
      </c>
      <c r="B193" s="228"/>
      <c r="C193" s="221"/>
      <c r="D193" s="88"/>
      <c r="E193" s="100"/>
      <c r="F193" s="95"/>
      <c r="G193" s="114"/>
      <c r="H193" s="96"/>
      <c r="I193" s="97"/>
      <c r="J193" s="98"/>
      <c r="K193" s="101"/>
      <c r="L193" s="124"/>
      <c r="M193" s="333"/>
      <c r="N193" s="341"/>
      <c r="O193" s="190"/>
      <c r="P193" s="191"/>
      <c r="Q193" s="190"/>
      <c r="R193" s="191"/>
      <c r="S193" s="294"/>
      <c r="T193" s="300"/>
      <c r="U193" s="306"/>
      <c r="V193" s="308"/>
      <c r="W193" s="248"/>
      <c r="X193" s="342"/>
      <c r="Y193" s="337"/>
      <c r="Z193" s="123"/>
      <c r="AA193" s="83"/>
      <c r="AB193" s="123"/>
      <c r="AC193" s="83"/>
      <c r="AD193" s="123"/>
      <c r="AE193" s="83"/>
      <c r="AF193" s="123"/>
      <c r="AG193" s="243"/>
      <c r="AH193" s="33"/>
      <c r="AI193" s="245"/>
      <c r="AJ193" s="125"/>
      <c r="AK193" s="92"/>
      <c r="AL193" s="126"/>
      <c r="AM193" s="91"/>
      <c r="AN193" s="91"/>
      <c r="AO193" s="197">
        <f t="shared" si="11"/>
        <v>0</v>
      </c>
      <c r="AP193" s="126"/>
      <c r="AQ193" s="217"/>
      <c r="AR193" s="123"/>
      <c r="AS193" s="268"/>
      <c r="AT193" s="94"/>
      <c r="AU193" s="84"/>
      <c r="AV193" s="80"/>
      <c r="AW193" s="81"/>
      <c r="AX193" s="77"/>
      <c r="AY193" s="107"/>
      <c r="AZ193" s="220">
        <f t="shared" si="8"/>
        <v>0</v>
      </c>
      <c r="BA193" s="220">
        <f t="shared" si="9"/>
        <v>0</v>
      </c>
    </row>
    <row r="194" spans="1:53" ht="50.1" customHeight="1" x14ac:dyDescent="0.25">
      <c r="A194" s="17">
        <f t="shared" si="10"/>
        <v>180</v>
      </c>
      <c r="B194" s="229"/>
      <c r="C194" s="222"/>
      <c r="D194" s="112"/>
      <c r="E194" s="128"/>
      <c r="F194" s="183"/>
      <c r="G194" s="130"/>
      <c r="H194" s="131"/>
      <c r="I194" s="132"/>
      <c r="J194" s="189"/>
      <c r="K194" s="133"/>
      <c r="L194" s="134"/>
      <c r="M194" s="334"/>
      <c r="N194" s="343"/>
      <c r="O194" s="192"/>
      <c r="P194" s="191"/>
      <c r="Q194" s="192"/>
      <c r="R194" s="191"/>
      <c r="S194" s="295"/>
      <c r="T194" s="301"/>
      <c r="U194" s="306"/>
      <c r="V194" s="308"/>
      <c r="W194" s="249"/>
      <c r="X194" s="344"/>
      <c r="Y194" s="337"/>
      <c r="Z194" s="33"/>
      <c r="AA194" s="83"/>
      <c r="AB194" s="33"/>
      <c r="AC194" s="83"/>
      <c r="AD194" s="33"/>
      <c r="AE194" s="83"/>
      <c r="AF194" s="33"/>
      <c r="AG194" s="244"/>
      <c r="AH194" s="83"/>
      <c r="AI194" s="246"/>
      <c r="AJ194" s="102"/>
      <c r="AK194" s="92"/>
      <c r="AL194" s="91"/>
      <c r="AM194" s="92"/>
      <c r="AN194" s="351"/>
      <c r="AO194" s="197">
        <f t="shared" si="11"/>
        <v>0</v>
      </c>
      <c r="AP194" s="91"/>
      <c r="AQ194" s="217"/>
      <c r="AR194" s="83"/>
      <c r="AS194" s="267"/>
      <c r="AT194" s="94"/>
      <c r="AU194" s="84"/>
      <c r="AV194" s="136"/>
      <c r="AW194" s="81"/>
      <c r="AX194" s="137"/>
      <c r="AY194" s="138"/>
      <c r="AZ194" s="220">
        <f t="shared" si="8"/>
        <v>0</v>
      </c>
      <c r="BA194" s="220">
        <f t="shared" si="9"/>
        <v>0</v>
      </c>
    </row>
    <row r="195" spans="1:53" ht="50.1" customHeight="1" x14ac:dyDescent="0.25">
      <c r="A195" s="17">
        <f t="shared" si="10"/>
        <v>181</v>
      </c>
      <c r="B195" s="228"/>
      <c r="C195" s="221"/>
      <c r="D195" s="88"/>
      <c r="E195" s="100"/>
      <c r="F195" s="95"/>
      <c r="G195" s="114"/>
      <c r="H195" s="96"/>
      <c r="I195" s="97"/>
      <c r="J195" s="98"/>
      <c r="K195" s="101"/>
      <c r="L195" s="124"/>
      <c r="M195" s="333"/>
      <c r="N195" s="341"/>
      <c r="O195" s="190"/>
      <c r="P195" s="191"/>
      <c r="Q195" s="190"/>
      <c r="R195" s="191"/>
      <c r="S195" s="294"/>
      <c r="T195" s="300"/>
      <c r="U195" s="306"/>
      <c r="V195" s="308"/>
      <c r="W195" s="248"/>
      <c r="X195" s="342"/>
      <c r="Y195" s="337"/>
      <c r="Z195" s="123"/>
      <c r="AA195" s="83"/>
      <c r="AB195" s="123"/>
      <c r="AC195" s="83"/>
      <c r="AD195" s="123"/>
      <c r="AE195" s="83"/>
      <c r="AF195" s="123"/>
      <c r="AG195" s="243"/>
      <c r="AH195" s="33"/>
      <c r="AI195" s="245"/>
      <c r="AJ195" s="125"/>
      <c r="AK195" s="92"/>
      <c r="AL195" s="126"/>
      <c r="AM195" s="91"/>
      <c r="AN195" s="91"/>
      <c r="AO195" s="197">
        <f t="shared" si="11"/>
        <v>0</v>
      </c>
      <c r="AP195" s="126"/>
      <c r="AQ195" s="217"/>
      <c r="AR195" s="201"/>
      <c r="AS195" s="266"/>
      <c r="AT195" s="94"/>
      <c r="AU195" s="84"/>
      <c r="AV195" s="80"/>
      <c r="AW195" s="81"/>
      <c r="AX195" s="77"/>
      <c r="AY195" s="107"/>
      <c r="AZ195" s="220">
        <f t="shared" si="8"/>
        <v>0</v>
      </c>
      <c r="BA195" s="220">
        <f t="shared" si="9"/>
        <v>0</v>
      </c>
    </row>
    <row r="196" spans="1:53" ht="50.1" customHeight="1" x14ac:dyDescent="0.25">
      <c r="A196" s="17">
        <f t="shared" si="10"/>
        <v>182</v>
      </c>
      <c r="B196" s="229"/>
      <c r="C196" s="222"/>
      <c r="D196" s="112"/>
      <c r="E196" s="128"/>
      <c r="F196" s="183"/>
      <c r="G196" s="130"/>
      <c r="H196" s="131"/>
      <c r="I196" s="132"/>
      <c r="J196" s="189"/>
      <c r="K196" s="133"/>
      <c r="L196" s="134"/>
      <c r="M196" s="334"/>
      <c r="N196" s="343"/>
      <c r="O196" s="192"/>
      <c r="P196" s="191"/>
      <c r="Q196" s="192"/>
      <c r="R196" s="191"/>
      <c r="S196" s="295"/>
      <c r="T196" s="301"/>
      <c r="U196" s="306"/>
      <c r="V196" s="308"/>
      <c r="W196" s="249"/>
      <c r="X196" s="344"/>
      <c r="Y196" s="337"/>
      <c r="Z196" s="33"/>
      <c r="AA196" s="83"/>
      <c r="AB196" s="33"/>
      <c r="AC196" s="83"/>
      <c r="AD196" s="33"/>
      <c r="AE196" s="83"/>
      <c r="AF196" s="33"/>
      <c r="AG196" s="244"/>
      <c r="AH196" s="83"/>
      <c r="AI196" s="246"/>
      <c r="AJ196" s="102"/>
      <c r="AK196" s="92"/>
      <c r="AL196" s="91"/>
      <c r="AM196" s="92"/>
      <c r="AN196" s="351"/>
      <c r="AO196" s="197">
        <f t="shared" si="11"/>
        <v>0</v>
      </c>
      <c r="AP196" s="91"/>
      <c r="AQ196" s="217"/>
      <c r="AR196" s="103"/>
      <c r="AS196" s="264"/>
      <c r="AT196" s="94"/>
      <c r="AU196" s="84"/>
      <c r="AV196" s="136"/>
      <c r="AW196" s="81"/>
      <c r="AX196" s="137"/>
      <c r="AY196" s="138"/>
      <c r="AZ196" s="220">
        <f t="shared" si="8"/>
        <v>0</v>
      </c>
      <c r="BA196" s="220">
        <f t="shared" si="9"/>
        <v>0</v>
      </c>
    </row>
    <row r="197" spans="1:53" ht="50.1" customHeight="1" x14ac:dyDescent="0.25">
      <c r="A197" s="17">
        <f t="shared" si="10"/>
        <v>183</v>
      </c>
      <c r="B197" s="228"/>
      <c r="C197" s="221"/>
      <c r="D197" s="88"/>
      <c r="E197" s="100"/>
      <c r="F197" s="95"/>
      <c r="G197" s="114"/>
      <c r="H197" s="96"/>
      <c r="I197" s="97"/>
      <c r="J197" s="98"/>
      <c r="K197" s="101"/>
      <c r="L197" s="124"/>
      <c r="M197" s="333"/>
      <c r="N197" s="341"/>
      <c r="O197" s="190"/>
      <c r="P197" s="191"/>
      <c r="Q197" s="190"/>
      <c r="R197" s="191"/>
      <c r="S197" s="294"/>
      <c r="T197" s="300"/>
      <c r="U197" s="306"/>
      <c r="V197" s="308"/>
      <c r="W197" s="248"/>
      <c r="X197" s="342"/>
      <c r="Y197" s="337"/>
      <c r="Z197" s="123"/>
      <c r="AA197" s="83"/>
      <c r="AB197" s="123"/>
      <c r="AC197" s="83"/>
      <c r="AD197" s="123"/>
      <c r="AE197" s="83"/>
      <c r="AF197" s="123"/>
      <c r="AG197" s="243"/>
      <c r="AH197" s="33"/>
      <c r="AI197" s="245"/>
      <c r="AJ197" s="125"/>
      <c r="AK197" s="92"/>
      <c r="AL197" s="126"/>
      <c r="AM197" s="91"/>
      <c r="AN197" s="91"/>
      <c r="AO197" s="197">
        <f t="shared" si="11"/>
        <v>0</v>
      </c>
      <c r="AP197" s="126"/>
      <c r="AQ197" s="217"/>
      <c r="AR197" s="201"/>
      <c r="AS197" s="266"/>
      <c r="AT197" s="94"/>
      <c r="AU197" s="84"/>
      <c r="AV197" s="80"/>
      <c r="AW197" s="81"/>
      <c r="AX197" s="77"/>
      <c r="AY197" s="107"/>
      <c r="AZ197" s="220">
        <f t="shared" si="8"/>
        <v>0</v>
      </c>
      <c r="BA197" s="220">
        <f t="shared" si="9"/>
        <v>0</v>
      </c>
    </row>
    <row r="198" spans="1:53" ht="50.1" customHeight="1" x14ac:dyDescent="0.25">
      <c r="A198" s="17">
        <f t="shared" si="10"/>
        <v>184</v>
      </c>
      <c r="B198" s="229"/>
      <c r="C198" s="222"/>
      <c r="D198" s="112"/>
      <c r="E198" s="128"/>
      <c r="F198" s="183"/>
      <c r="G198" s="130"/>
      <c r="H198" s="131"/>
      <c r="I198" s="132"/>
      <c r="J198" s="189"/>
      <c r="K198" s="133"/>
      <c r="L198" s="134"/>
      <c r="M198" s="334"/>
      <c r="N198" s="343"/>
      <c r="O198" s="192"/>
      <c r="P198" s="191"/>
      <c r="Q198" s="192"/>
      <c r="R198" s="191"/>
      <c r="S198" s="295"/>
      <c r="T198" s="301"/>
      <c r="U198" s="306"/>
      <c r="V198" s="308"/>
      <c r="W198" s="249"/>
      <c r="X198" s="344"/>
      <c r="Y198" s="337"/>
      <c r="Z198" s="33"/>
      <c r="AA198" s="83"/>
      <c r="AB198" s="33"/>
      <c r="AC198" s="83"/>
      <c r="AD198" s="33"/>
      <c r="AE198" s="83"/>
      <c r="AF198" s="33"/>
      <c r="AG198" s="244"/>
      <c r="AH198" s="83"/>
      <c r="AI198" s="246"/>
      <c r="AJ198" s="102"/>
      <c r="AK198" s="92"/>
      <c r="AL198" s="91"/>
      <c r="AM198" s="92"/>
      <c r="AN198" s="351"/>
      <c r="AO198" s="197">
        <f t="shared" si="11"/>
        <v>0</v>
      </c>
      <c r="AP198" s="91"/>
      <c r="AQ198" s="217"/>
      <c r="AR198" s="103"/>
      <c r="AS198" s="264"/>
      <c r="AT198" s="94"/>
      <c r="AU198" s="84"/>
      <c r="AV198" s="136"/>
      <c r="AW198" s="81"/>
      <c r="AX198" s="137"/>
      <c r="AY198" s="138"/>
      <c r="AZ198" s="220">
        <f t="shared" si="8"/>
        <v>0</v>
      </c>
      <c r="BA198" s="220">
        <f t="shared" si="9"/>
        <v>0</v>
      </c>
    </row>
    <row r="199" spans="1:53" ht="50.1" customHeight="1" x14ac:dyDescent="0.25">
      <c r="A199" s="17">
        <f t="shared" si="10"/>
        <v>185</v>
      </c>
      <c r="B199" s="228"/>
      <c r="C199" s="221"/>
      <c r="D199" s="88"/>
      <c r="E199" s="100"/>
      <c r="F199" s="95"/>
      <c r="G199" s="114"/>
      <c r="H199" s="96"/>
      <c r="I199" s="97"/>
      <c r="J199" s="98"/>
      <c r="K199" s="101"/>
      <c r="L199" s="124"/>
      <c r="M199" s="333"/>
      <c r="N199" s="341"/>
      <c r="O199" s="190"/>
      <c r="P199" s="191"/>
      <c r="Q199" s="190"/>
      <c r="R199" s="191"/>
      <c r="S199" s="294"/>
      <c r="T199" s="300"/>
      <c r="U199" s="306"/>
      <c r="V199" s="308"/>
      <c r="W199" s="248"/>
      <c r="X199" s="342"/>
      <c r="Y199" s="337"/>
      <c r="Z199" s="123"/>
      <c r="AA199" s="83"/>
      <c r="AB199" s="123"/>
      <c r="AC199" s="83"/>
      <c r="AD199" s="123"/>
      <c r="AE199" s="83"/>
      <c r="AF199" s="123"/>
      <c r="AG199" s="243"/>
      <c r="AH199" s="33"/>
      <c r="AI199" s="245"/>
      <c r="AJ199" s="125"/>
      <c r="AK199" s="92"/>
      <c r="AL199" s="126"/>
      <c r="AM199" s="91"/>
      <c r="AN199" s="91"/>
      <c r="AO199" s="197">
        <f t="shared" si="11"/>
        <v>0</v>
      </c>
      <c r="AP199" s="126"/>
      <c r="AQ199" s="217"/>
      <c r="AR199" s="200"/>
      <c r="AS199" s="263"/>
      <c r="AT199" s="94"/>
      <c r="AU199" s="84"/>
      <c r="AV199" s="80"/>
      <c r="AW199" s="81"/>
      <c r="AX199" s="77"/>
      <c r="AY199" s="107"/>
      <c r="AZ199" s="220">
        <f t="shared" si="8"/>
        <v>0</v>
      </c>
      <c r="BA199" s="220">
        <f t="shared" si="9"/>
        <v>0</v>
      </c>
    </row>
    <row r="200" spans="1:53" ht="50.1" customHeight="1" x14ac:dyDescent="0.25">
      <c r="A200" s="17">
        <f t="shared" si="10"/>
        <v>186</v>
      </c>
      <c r="B200" s="229"/>
      <c r="C200" s="222"/>
      <c r="D200" s="112"/>
      <c r="E200" s="128"/>
      <c r="F200" s="183"/>
      <c r="G200" s="130"/>
      <c r="H200" s="131"/>
      <c r="I200" s="132"/>
      <c r="J200" s="189"/>
      <c r="K200" s="133"/>
      <c r="L200" s="134"/>
      <c r="M200" s="334"/>
      <c r="N200" s="343"/>
      <c r="O200" s="192"/>
      <c r="P200" s="191"/>
      <c r="Q200" s="192"/>
      <c r="R200" s="191"/>
      <c r="S200" s="295"/>
      <c r="T200" s="301"/>
      <c r="U200" s="306"/>
      <c r="V200" s="308"/>
      <c r="W200" s="249"/>
      <c r="X200" s="344"/>
      <c r="Y200" s="337"/>
      <c r="Z200" s="33"/>
      <c r="AA200" s="83"/>
      <c r="AB200" s="33"/>
      <c r="AC200" s="83"/>
      <c r="AD200" s="33"/>
      <c r="AE200" s="83"/>
      <c r="AF200" s="33"/>
      <c r="AG200" s="244"/>
      <c r="AH200" s="83"/>
      <c r="AI200" s="246"/>
      <c r="AJ200" s="102"/>
      <c r="AK200" s="92"/>
      <c r="AL200" s="91"/>
      <c r="AM200" s="92"/>
      <c r="AN200" s="351"/>
      <c r="AO200" s="197">
        <f t="shared" si="11"/>
        <v>0</v>
      </c>
      <c r="AP200" s="91"/>
      <c r="AQ200" s="217"/>
      <c r="AR200" s="103"/>
      <c r="AS200" s="264"/>
      <c r="AT200" s="94"/>
      <c r="AU200" s="84"/>
      <c r="AV200" s="136"/>
      <c r="AW200" s="81"/>
      <c r="AX200" s="137"/>
      <c r="AY200" s="138"/>
      <c r="AZ200" s="220">
        <f t="shared" si="8"/>
        <v>0</v>
      </c>
      <c r="BA200" s="220">
        <f t="shared" si="9"/>
        <v>0</v>
      </c>
    </row>
    <row r="201" spans="1:53" ht="50.1" customHeight="1" x14ac:dyDescent="0.25">
      <c r="A201" s="17">
        <f t="shared" si="10"/>
        <v>187</v>
      </c>
      <c r="B201" s="228"/>
      <c r="C201" s="221"/>
      <c r="D201" s="88"/>
      <c r="E201" s="100"/>
      <c r="F201" s="95"/>
      <c r="G201" s="114"/>
      <c r="H201" s="96"/>
      <c r="I201" s="97"/>
      <c r="J201" s="98"/>
      <c r="K201" s="101"/>
      <c r="L201" s="124"/>
      <c r="M201" s="333"/>
      <c r="N201" s="341"/>
      <c r="O201" s="190"/>
      <c r="P201" s="191"/>
      <c r="Q201" s="190"/>
      <c r="R201" s="191"/>
      <c r="S201" s="294"/>
      <c r="T201" s="300"/>
      <c r="U201" s="306"/>
      <c r="V201" s="308"/>
      <c r="W201" s="248"/>
      <c r="X201" s="342"/>
      <c r="Y201" s="337"/>
      <c r="Z201" s="123"/>
      <c r="AA201" s="83"/>
      <c r="AB201" s="123"/>
      <c r="AC201" s="83"/>
      <c r="AD201" s="123"/>
      <c r="AE201" s="83"/>
      <c r="AF201" s="123"/>
      <c r="AG201" s="243"/>
      <c r="AH201" s="33"/>
      <c r="AI201" s="245"/>
      <c r="AJ201" s="125"/>
      <c r="AK201" s="92"/>
      <c r="AL201" s="126"/>
      <c r="AM201" s="91"/>
      <c r="AN201" s="91"/>
      <c r="AO201" s="197">
        <f t="shared" si="11"/>
        <v>0</v>
      </c>
      <c r="AP201" s="126"/>
      <c r="AQ201" s="217"/>
      <c r="AR201" s="200"/>
      <c r="AS201" s="263"/>
      <c r="AT201" s="94"/>
      <c r="AU201" s="84"/>
      <c r="AV201" s="80"/>
      <c r="AW201" s="81"/>
      <c r="AX201" s="77"/>
      <c r="AY201" s="107"/>
      <c r="AZ201" s="220">
        <f t="shared" si="8"/>
        <v>0</v>
      </c>
      <c r="BA201" s="220">
        <f t="shared" si="9"/>
        <v>0</v>
      </c>
    </row>
    <row r="202" spans="1:53" ht="50.1" customHeight="1" x14ac:dyDescent="0.25">
      <c r="A202" s="17">
        <f t="shared" si="10"/>
        <v>188</v>
      </c>
      <c r="B202" s="229"/>
      <c r="C202" s="222"/>
      <c r="D202" s="112"/>
      <c r="E202" s="128"/>
      <c r="F202" s="183"/>
      <c r="G202" s="130"/>
      <c r="H202" s="131"/>
      <c r="I202" s="132"/>
      <c r="J202" s="189"/>
      <c r="K202" s="133"/>
      <c r="L202" s="134"/>
      <c r="M202" s="334"/>
      <c r="N202" s="343"/>
      <c r="O202" s="192"/>
      <c r="P202" s="191"/>
      <c r="Q202" s="192"/>
      <c r="R202" s="191"/>
      <c r="S202" s="295"/>
      <c r="T202" s="301"/>
      <c r="U202" s="306"/>
      <c r="V202" s="308"/>
      <c r="W202" s="249"/>
      <c r="X202" s="344"/>
      <c r="Y202" s="337"/>
      <c r="Z202" s="33"/>
      <c r="AA202" s="83"/>
      <c r="AB202" s="33"/>
      <c r="AC202" s="83"/>
      <c r="AD202" s="33"/>
      <c r="AE202" s="83"/>
      <c r="AF202" s="33"/>
      <c r="AG202" s="244"/>
      <c r="AH202" s="83"/>
      <c r="AI202" s="246"/>
      <c r="AJ202" s="102"/>
      <c r="AK202" s="92"/>
      <c r="AL202" s="91"/>
      <c r="AM202" s="92"/>
      <c r="AN202" s="351"/>
      <c r="AO202" s="197">
        <f t="shared" si="11"/>
        <v>0</v>
      </c>
      <c r="AP202" s="91"/>
      <c r="AQ202" s="217"/>
      <c r="AR202" s="103"/>
      <c r="AS202" s="264"/>
      <c r="AT202" s="94"/>
      <c r="AU202" s="84"/>
      <c r="AV202" s="136"/>
      <c r="AW202" s="81"/>
      <c r="AX202" s="137"/>
      <c r="AY202" s="138"/>
      <c r="AZ202" s="220">
        <f t="shared" si="8"/>
        <v>0</v>
      </c>
      <c r="BA202" s="220">
        <f t="shared" si="9"/>
        <v>0</v>
      </c>
    </row>
    <row r="203" spans="1:53" ht="50.1" customHeight="1" x14ac:dyDescent="0.25">
      <c r="A203" s="17">
        <f t="shared" si="10"/>
        <v>189</v>
      </c>
      <c r="B203" s="228"/>
      <c r="C203" s="221"/>
      <c r="D203" s="88"/>
      <c r="E203" s="100"/>
      <c r="F203" s="95"/>
      <c r="G203" s="114"/>
      <c r="H203" s="96"/>
      <c r="I203" s="97"/>
      <c r="J203" s="98"/>
      <c r="K203" s="101"/>
      <c r="L203" s="124"/>
      <c r="M203" s="333"/>
      <c r="N203" s="341"/>
      <c r="O203" s="190"/>
      <c r="P203" s="191"/>
      <c r="Q203" s="190"/>
      <c r="R203" s="191"/>
      <c r="S203" s="294"/>
      <c r="T203" s="300"/>
      <c r="U203" s="306"/>
      <c r="V203" s="308"/>
      <c r="W203" s="248"/>
      <c r="X203" s="342"/>
      <c r="Y203" s="337"/>
      <c r="Z203" s="123"/>
      <c r="AA203" s="83"/>
      <c r="AB203" s="123"/>
      <c r="AC203" s="83"/>
      <c r="AD203" s="123"/>
      <c r="AE203" s="83"/>
      <c r="AF203" s="123"/>
      <c r="AG203" s="243"/>
      <c r="AH203" s="33"/>
      <c r="AI203" s="245"/>
      <c r="AJ203" s="125"/>
      <c r="AK203" s="92"/>
      <c r="AL203" s="126"/>
      <c r="AM203" s="91"/>
      <c r="AN203" s="91"/>
      <c r="AO203" s="197">
        <f t="shared" si="11"/>
        <v>0</v>
      </c>
      <c r="AP203" s="126"/>
      <c r="AQ203" s="217"/>
      <c r="AR203" s="201"/>
      <c r="AS203" s="266"/>
      <c r="AT203" s="94"/>
      <c r="AU203" s="84"/>
      <c r="AV203" s="80"/>
      <c r="AW203" s="81"/>
      <c r="AX203" s="77"/>
      <c r="AY203" s="107"/>
      <c r="AZ203" s="220">
        <f t="shared" si="8"/>
        <v>0</v>
      </c>
      <c r="BA203" s="220">
        <f t="shared" si="9"/>
        <v>0</v>
      </c>
    </row>
    <row r="204" spans="1:53" ht="50.1" customHeight="1" x14ac:dyDescent="0.25">
      <c r="A204" s="17">
        <f t="shared" si="10"/>
        <v>190</v>
      </c>
      <c r="B204" s="229"/>
      <c r="C204" s="222"/>
      <c r="D204" s="112"/>
      <c r="E204" s="128"/>
      <c r="F204" s="183"/>
      <c r="G204" s="130"/>
      <c r="H204" s="131"/>
      <c r="I204" s="132"/>
      <c r="J204" s="189"/>
      <c r="K204" s="133"/>
      <c r="L204" s="134"/>
      <c r="M204" s="334"/>
      <c r="N204" s="343"/>
      <c r="O204" s="192"/>
      <c r="P204" s="191"/>
      <c r="Q204" s="192"/>
      <c r="R204" s="191"/>
      <c r="S204" s="295"/>
      <c r="T204" s="301"/>
      <c r="U204" s="306"/>
      <c r="V204" s="308"/>
      <c r="W204" s="249"/>
      <c r="X204" s="344"/>
      <c r="Y204" s="337"/>
      <c r="Z204" s="33"/>
      <c r="AA204" s="83"/>
      <c r="AB204" s="33"/>
      <c r="AC204" s="83"/>
      <c r="AD204" s="33"/>
      <c r="AE204" s="83"/>
      <c r="AF204" s="33"/>
      <c r="AG204" s="244"/>
      <c r="AH204" s="83"/>
      <c r="AI204" s="246"/>
      <c r="AJ204" s="102"/>
      <c r="AK204" s="92"/>
      <c r="AL204" s="91"/>
      <c r="AM204" s="92"/>
      <c r="AN204" s="351"/>
      <c r="AO204" s="197">
        <f t="shared" si="11"/>
        <v>0</v>
      </c>
      <c r="AP204" s="91"/>
      <c r="AQ204" s="217"/>
      <c r="AR204" s="103"/>
      <c r="AS204" s="264"/>
      <c r="AT204" s="94"/>
      <c r="AU204" s="84"/>
      <c r="AV204" s="136"/>
      <c r="AW204" s="81"/>
      <c r="AX204" s="137"/>
      <c r="AY204" s="138"/>
      <c r="AZ204" s="220">
        <f t="shared" si="8"/>
        <v>0</v>
      </c>
      <c r="BA204" s="220">
        <f t="shared" si="9"/>
        <v>0</v>
      </c>
    </row>
    <row r="205" spans="1:53" ht="50.1" customHeight="1" x14ac:dyDescent="0.25">
      <c r="A205" s="17">
        <f t="shared" si="10"/>
        <v>191</v>
      </c>
      <c r="B205" s="228"/>
      <c r="C205" s="221"/>
      <c r="D205" s="88"/>
      <c r="E205" s="100"/>
      <c r="F205" s="95"/>
      <c r="G205" s="114"/>
      <c r="H205" s="96"/>
      <c r="I205" s="97"/>
      <c r="J205" s="98"/>
      <c r="K205" s="101"/>
      <c r="L205" s="124"/>
      <c r="M205" s="333"/>
      <c r="N205" s="346"/>
      <c r="O205" s="190"/>
      <c r="P205" s="191"/>
      <c r="Q205" s="190"/>
      <c r="R205" s="191"/>
      <c r="S205" s="294"/>
      <c r="T205" s="300"/>
      <c r="U205" s="306"/>
      <c r="V205" s="308"/>
      <c r="W205" s="248"/>
      <c r="X205" s="342"/>
      <c r="Y205" s="337"/>
      <c r="Z205" s="123"/>
      <c r="AA205" s="83"/>
      <c r="AB205" s="123"/>
      <c r="AC205" s="83"/>
      <c r="AD205" s="123"/>
      <c r="AE205" s="83"/>
      <c r="AF205" s="123"/>
      <c r="AG205" s="243"/>
      <c r="AH205" s="33"/>
      <c r="AI205" s="245"/>
      <c r="AJ205" s="125"/>
      <c r="AK205" s="92"/>
      <c r="AL205" s="126"/>
      <c r="AM205" s="91"/>
      <c r="AN205" s="91"/>
      <c r="AO205" s="197">
        <f t="shared" si="11"/>
        <v>0</v>
      </c>
      <c r="AP205" s="126"/>
      <c r="AQ205" s="217"/>
      <c r="AR205" s="200"/>
      <c r="AS205" s="263"/>
      <c r="AT205" s="94"/>
      <c r="AU205" s="84"/>
      <c r="AV205" s="80"/>
      <c r="AW205" s="81"/>
      <c r="AX205" s="77"/>
      <c r="AY205" s="107"/>
      <c r="AZ205" s="220">
        <f t="shared" si="8"/>
        <v>0</v>
      </c>
      <c r="BA205" s="220">
        <f t="shared" si="9"/>
        <v>0</v>
      </c>
    </row>
    <row r="206" spans="1:53" ht="50.1" customHeight="1" x14ac:dyDescent="0.25">
      <c r="A206" s="17">
        <f t="shared" si="10"/>
        <v>192</v>
      </c>
      <c r="B206" s="229"/>
      <c r="C206" s="222"/>
      <c r="D206" s="112"/>
      <c r="E206" s="128"/>
      <c r="F206" s="183"/>
      <c r="G206" s="130"/>
      <c r="H206" s="131"/>
      <c r="I206" s="132"/>
      <c r="J206" s="189"/>
      <c r="K206" s="133"/>
      <c r="L206" s="134"/>
      <c r="M206" s="334"/>
      <c r="N206" s="343"/>
      <c r="O206" s="192"/>
      <c r="P206" s="191"/>
      <c r="Q206" s="192"/>
      <c r="R206" s="191"/>
      <c r="S206" s="295"/>
      <c r="T206" s="301"/>
      <c r="U206" s="306"/>
      <c r="V206" s="308"/>
      <c r="W206" s="249"/>
      <c r="X206" s="344"/>
      <c r="Y206" s="337"/>
      <c r="Z206" s="33"/>
      <c r="AA206" s="83"/>
      <c r="AB206" s="33"/>
      <c r="AC206" s="83"/>
      <c r="AD206" s="33"/>
      <c r="AE206" s="83"/>
      <c r="AF206" s="33"/>
      <c r="AG206" s="244"/>
      <c r="AH206" s="83"/>
      <c r="AI206" s="246"/>
      <c r="AJ206" s="102"/>
      <c r="AK206" s="92"/>
      <c r="AL206" s="91"/>
      <c r="AM206" s="92"/>
      <c r="AN206" s="351"/>
      <c r="AO206" s="197">
        <f t="shared" si="11"/>
        <v>0</v>
      </c>
      <c r="AP206" s="91"/>
      <c r="AQ206" s="217"/>
      <c r="AR206" s="103"/>
      <c r="AS206" s="264"/>
      <c r="AT206" s="94"/>
      <c r="AU206" s="84"/>
      <c r="AV206" s="136"/>
      <c r="AW206" s="81"/>
      <c r="AX206" s="137"/>
      <c r="AY206" s="138"/>
      <c r="AZ206" s="220">
        <f t="shared" si="8"/>
        <v>0</v>
      </c>
      <c r="BA206" s="220">
        <f t="shared" si="9"/>
        <v>0</v>
      </c>
    </row>
    <row r="207" spans="1:53" ht="50.1" customHeight="1" x14ac:dyDescent="0.25">
      <c r="A207" s="17">
        <f t="shared" si="10"/>
        <v>193</v>
      </c>
      <c r="B207" s="228"/>
      <c r="C207" s="221"/>
      <c r="D207" s="88"/>
      <c r="E207" s="100"/>
      <c r="F207" s="95"/>
      <c r="G207" s="114"/>
      <c r="H207" s="96"/>
      <c r="I207" s="97"/>
      <c r="J207" s="98"/>
      <c r="K207" s="101"/>
      <c r="L207" s="124"/>
      <c r="M207" s="333"/>
      <c r="N207" s="341"/>
      <c r="O207" s="190"/>
      <c r="P207" s="191"/>
      <c r="Q207" s="190"/>
      <c r="R207" s="191"/>
      <c r="S207" s="294"/>
      <c r="T207" s="300"/>
      <c r="U207" s="306"/>
      <c r="V207" s="308"/>
      <c r="W207" s="248"/>
      <c r="X207" s="342"/>
      <c r="Y207" s="337"/>
      <c r="Z207" s="123"/>
      <c r="AA207" s="83"/>
      <c r="AB207" s="123"/>
      <c r="AC207" s="83"/>
      <c r="AD207" s="123"/>
      <c r="AE207" s="83"/>
      <c r="AF207" s="123"/>
      <c r="AG207" s="243"/>
      <c r="AH207" s="33"/>
      <c r="AI207" s="245"/>
      <c r="AJ207" s="125"/>
      <c r="AK207" s="92"/>
      <c r="AL207" s="126"/>
      <c r="AM207" s="91"/>
      <c r="AN207" s="91"/>
      <c r="AO207" s="197">
        <f t="shared" si="11"/>
        <v>0</v>
      </c>
      <c r="AP207" s="126"/>
      <c r="AQ207" s="217"/>
      <c r="AR207" s="200"/>
      <c r="AS207" s="263"/>
      <c r="AT207" s="94"/>
      <c r="AU207" s="84"/>
      <c r="AV207" s="80"/>
      <c r="AW207" s="81"/>
      <c r="AX207" s="77"/>
      <c r="AY207" s="107"/>
      <c r="AZ207" s="220">
        <f t="shared" ref="AZ207:AZ270" si="12">M207-B207</f>
        <v>0</v>
      </c>
      <c r="BA207" s="220">
        <f t="shared" ref="BA207:BA270" si="13">AU207-M207</f>
        <v>0</v>
      </c>
    </row>
    <row r="208" spans="1:53" ht="50.1" customHeight="1" x14ac:dyDescent="0.25">
      <c r="A208" s="17">
        <f t="shared" ref="A208:A271" si="14">ROW(A194)</f>
        <v>194</v>
      </c>
      <c r="B208" s="229"/>
      <c r="C208" s="222"/>
      <c r="D208" s="112"/>
      <c r="E208" s="128"/>
      <c r="F208" s="183"/>
      <c r="G208" s="130"/>
      <c r="H208" s="131"/>
      <c r="I208" s="132"/>
      <c r="J208" s="189"/>
      <c r="K208" s="133"/>
      <c r="L208" s="134"/>
      <c r="M208" s="334"/>
      <c r="N208" s="343"/>
      <c r="O208" s="192"/>
      <c r="P208" s="191"/>
      <c r="Q208" s="192"/>
      <c r="R208" s="191"/>
      <c r="S208" s="295"/>
      <c r="T208" s="301"/>
      <c r="U208" s="306"/>
      <c r="V208" s="308"/>
      <c r="W208" s="249"/>
      <c r="X208" s="344"/>
      <c r="Y208" s="337"/>
      <c r="Z208" s="33"/>
      <c r="AA208" s="83"/>
      <c r="AB208" s="33"/>
      <c r="AC208" s="83"/>
      <c r="AD208" s="33"/>
      <c r="AE208" s="83"/>
      <c r="AF208" s="33"/>
      <c r="AG208" s="244"/>
      <c r="AH208" s="83"/>
      <c r="AI208" s="246"/>
      <c r="AJ208" s="102"/>
      <c r="AK208" s="92"/>
      <c r="AL208" s="91"/>
      <c r="AM208" s="92"/>
      <c r="AN208" s="351"/>
      <c r="AO208" s="197">
        <f t="shared" ref="AO208:AO271" si="15">AJ208-AK208-AL208-AM208-AN208</f>
        <v>0</v>
      </c>
      <c r="AP208" s="91"/>
      <c r="AQ208" s="217"/>
      <c r="AR208" s="103"/>
      <c r="AS208" s="264"/>
      <c r="AT208" s="94"/>
      <c r="AU208" s="84"/>
      <c r="AV208" s="136"/>
      <c r="AW208" s="81"/>
      <c r="AX208" s="137"/>
      <c r="AY208" s="138"/>
      <c r="AZ208" s="220">
        <f t="shared" si="12"/>
        <v>0</v>
      </c>
      <c r="BA208" s="220">
        <f t="shared" si="13"/>
        <v>0</v>
      </c>
    </row>
    <row r="209" spans="1:53" ht="50.1" customHeight="1" x14ac:dyDescent="0.25">
      <c r="A209" s="17">
        <f t="shared" si="14"/>
        <v>195</v>
      </c>
      <c r="B209" s="228"/>
      <c r="C209" s="221"/>
      <c r="D209" s="88"/>
      <c r="E209" s="100"/>
      <c r="F209" s="95"/>
      <c r="G209" s="114"/>
      <c r="H209" s="96"/>
      <c r="I209" s="97"/>
      <c r="J209" s="98"/>
      <c r="K209" s="101"/>
      <c r="L209" s="124"/>
      <c r="M209" s="333"/>
      <c r="N209" s="341"/>
      <c r="O209" s="190"/>
      <c r="P209" s="191"/>
      <c r="Q209" s="190"/>
      <c r="R209" s="191"/>
      <c r="S209" s="294"/>
      <c r="T209" s="300"/>
      <c r="U209" s="306"/>
      <c r="V209" s="308"/>
      <c r="W209" s="248"/>
      <c r="X209" s="342"/>
      <c r="Y209" s="337"/>
      <c r="Z209" s="123"/>
      <c r="AA209" s="83"/>
      <c r="AB209" s="123"/>
      <c r="AC209" s="83"/>
      <c r="AD209" s="123"/>
      <c r="AE209" s="83"/>
      <c r="AF209" s="123"/>
      <c r="AG209" s="243"/>
      <c r="AH209" s="33"/>
      <c r="AI209" s="245"/>
      <c r="AJ209" s="198"/>
      <c r="AK209" s="92"/>
      <c r="AL209" s="126"/>
      <c r="AM209" s="91"/>
      <c r="AN209" s="91"/>
      <c r="AO209" s="197">
        <f t="shared" si="15"/>
        <v>0</v>
      </c>
      <c r="AP209" s="126"/>
      <c r="AQ209" s="217"/>
      <c r="AR209" s="201"/>
      <c r="AS209" s="266"/>
      <c r="AT209" s="94"/>
      <c r="AU209" s="84"/>
      <c r="AV209" s="80"/>
      <c r="AW209" s="81"/>
      <c r="AX209" s="77"/>
      <c r="AY209" s="107"/>
      <c r="AZ209" s="220">
        <f t="shared" si="12"/>
        <v>0</v>
      </c>
      <c r="BA209" s="220">
        <f t="shared" si="13"/>
        <v>0</v>
      </c>
    </row>
    <row r="210" spans="1:53" ht="50.1" customHeight="1" x14ac:dyDescent="0.25">
      <c r="A210" s="17">
        <f t="shared" si="14"/>
        <v>196</v>
      </c>
      <c r="B210" s="229"/>
      <c r="C210" s="222"/>
      <c r="D210" s="112"/>
      <c r="E210" s="128"/>
      <c r="F210" s="183"/>
      <c r="G210" s="130"/>
      <c r="H210" s="131"/>
      <c r="I210" s="132"/>
      <c r="J210" s="189"/>
      <c r="K210" s="133"/>
      <c r="L210" s="134"/>
      <c r="M210" s="334"/>
      <c r="N210" s="343"/>
      <c r="O210" s="192"/>
      <c r="P210" s="191"/>
      <c r="Q210" s="192"/>
      <c r="R210" s="191"/>
      <c r="S210" s="295"/>
      <c r="T210" s="301"/>
      <c r="U210" s="306"/>
      <c r="V210" s="308"/>
      <c r="W210" s="249"/>
      <c r="X210" s="344"/>
      <c r="Y210" s="337"/>
      <c r="Z210" s="33"/>
      <c r="AA210" s="83"/>
      <c r="AB210" s="33"/>
      <c r="AC210" s="83"/>
      <c r="AD210" s="33"/>
      <c r="AE210" s="83"/>
      <c r="AF210" s="33"/>
      <c r="AG210" s="244"/>
      <c r="AH210" s="83"/>
      <c r="AI210" s="246"/>
      <c r="AJ210" s="195"/>
      <c r="AK210" s="92"/>
      <c r="AL210" s="91"/>
      <c r="AM210" s="92"/>
      <c r="AN210" s="351"/>
      <c r="AO210" s="197">
        <f t="shared" si="15"/>
        <v>0</v>
      </c>
      <c r="AP210" s="91"/>
      <c r="AQ210" s="217"/>
      <c r="AR210" s="196"/>
      <c r="AS210" s="265"/>
      <c r="AT210" s="94"/>
      <c r="AU210" s="84"/>
      <c r="AV210" s="136"/>
      <c r="AW210" s="81"/>
      <c r="AX210" s="137"/>
      <c r="AY210" s="138"/>
      <c r="AZ210" s="220">
        <f t="shared" si="12"/>
        <v>0</v>
      </c>
      <c r="BA210" s="220">
        <f t="shared" si="13"/>
        <v>0</v>
      </c>
    </row>
    <row r="211" spans="1:53" ht="50.1" customHeight="1" x14ac:dyDescent="0.25">
      <c r="A211" s="17">
        <f t="shared" si="14"/>
        <v>197</v>
      </c>
      <c r="B211" s="228"/>
      <c r="C211" s="221"/>
      <c r="D211" s="88"/>
      <c r="E211" s="100"/>
      <c r="F211" s="95"/>
      <c r="G211" s="114"/>
      <c r="H211" s="96"/>
      <c r="I211" s="97"/>
      <c r="J211" s="98"/>
      <c r="K211" s="101"/>
      <c r="L211" s="124"/>
      <c r="M211" s="333"/>
      <c r="N211" s="341"/>
      <c r="O211" s="190"/>
      <c r="P211" s="191"/>
      <c r="Q211" s="190"/>
      <c r="R211" s="191"/>
      <c r="S211" s="294"/>
      <c r="T211" s="300"/>
      <c r="U211" s="306"/>
      <c r="V211" s="308"/>
      <c r="W211" s="248"/>
      <c r="X211" s="342"/>
      <c r="Y211" s="337"/>
      <c r="Z211" s="123"/>
      <c r="AA211" s="83"/>
      <c r="AB211" s="123"/>
      <c r="AC211" s="83"/>
      <c r="AD211" s="123"/>
      <c r="AE211" s="83"/>
      <c r="AF211" s="123"/>
      <c r="AG211" s="243"/>
      <c r="AH211" s="33"/>
      <c r="AI211" s="245"/>
      <c r="AJ211" s="198"/>
      <c r="AK211" s="92"/>
      <c r="AL211" s="126"/>
      <c r="AM211" s="91"/>
      <c r="AN211" s="91"/>
      <c r="AO211" s="197">
        <f t="shared" si="15"/>
        <v>0</v>
      </c>
      <c r="AP211" s="126"/>
      <c r="AQ211" s="217"/>
      <c r="AR211" s="201"/>
      <c r="AS211" s="266"/>
      <c r="AT211" s="94"/>
      <c r="AU211" s="84"/>
      <c r="AV211" s="80"/>
      <c r="AW211" s="81"/>
      <c r="AX211" s="77"/>
      <c r="AY211" s="107"/>
      <c r="AZ211" s="220">
        <f t="shared" si="12"/>
        <v>0</v>
      </c>
      <c r="BA211" s="220">
        <f t="shared" si="13"/>
        <v>0</v>
      </c>
    </row>
    <row r="212" spans="1:53" ht="50.1" customHeight="1" x14ac:dyDescent="0.25">
      <c r="A212" s="17">
        <f t="shared" si="14"/>
        <v>198</v>
      </c>
      <c r="B212" s="229"/>
      <c r="C212" s="222"/>
      <c r="D212" s="112"/>
      <c r="E212" s="128"/>
      <c r="F212" s="183"/>
      <c r="G212" s="130"/>
      <c r="H212" s="131"/>
      <c r="I212" s="132"/>
      <c r="J212" s="189"/>
      <c r="K212" s="133"/>
      <c r="L212" s="134"/>
      <c r="M212" s="334"/>
      <c r="N212" s="343"/>
      <c r="O212" s="192"/>
      <c r="P212" s="191"/>
      <c r="Q212" s="192"/>
      <c r="R212" s="191"/>
      <c r="S212" s="295"/>
      <c r="T212" s="301"/>
      <c r="U212" s="306"/>
      <c r="V212" s="308"/>
      <c r="W212" s="249"/>
      <c r="X212" s="344"/>
      <c r="Y212" s="337"/>
      <c r="Z212" s="33"/>
      <c r="AA212" s="83"/>
      <c r="AB212" s="33"/>
      <c r="AC212" s="83"/>
      <c r="AD212" s="33"/>
      <c r="AE212" s="83"/>
      <c r="AF212" s="33"/>
      <c r="AG212" s="244"/>
      <c r="AH212" s="83"/>
      <c r="AI212" s="246"/>
      <c r="AJ212" s="102"/>
      <c r="AK212" s="92"/>
      <c r="AL212" s="91"/>
      <c r="AM212" s="92"/>
      <c r="AN212" s="351"/>
      <c r="AO212" s="197">
        <f t="shared" si="15"/>
        <v>0</v>
      </c>
      <c r="AP212" s="91"/>
      <c r="AQ212" s="217"/>
      <c r="AR212" s="196"/>
      <c r="AS212" s="265"/>
      <c r="AT212" s="94"/>
      <c r="AU212" s="84"/>
      <c r="AV212" s="136"/>
      <c r="AW212" s="81"/>
      <c r="AX212" s="137"/>
      <c r="AY212" s="138"/>
      <c r="AZ212" s="220">
        <f t="shared" si="12"/>
        <v>0</v>
      </c>
      <c r="BA212" s="220">
        <f t="shared" si="13"/>
        <v>0</v>
      </c>
    </row>
    <row r="213" spans="1:53" ht="50.1" customHeight="1" x14ac:dyDescent="0.25">
      <c r="A213" s="17">
        <f t="shared" si="14"/>
        <v>199</v>
      </c>
      <c r="B213" s="228"/>
      <c r="C213" s="221"/>
      <c r="D213" s="88"/>
      <c r="E213" s="100"/>
      <c r="F213" s="95"/>
      <c r="G213" s="114"/>
      <c r="H213" s="96"/>
      <c r="I213" s="97"/>
      <c r="J213" s="98"/>
      <c r="K213" s="101"/>
      <c r="L213" s="124"/>
      <c r="M213" s="333"/>
      <c r="N213" s="341"/>
      <c r="O213" s="190"/>
      <c r="P213" s="191"/>
      <c r="Q213" s="190"/>
      <c r="R213" s="191"/>
      <c r="S213" s="294"/>
      <c r="T213" s="300"/>
      <c r="U213" s="306"/>
      <c r="V213" s="308"/>
      <c r="W213" s="248"/>
      <c r="X213" s="342"/>
      <c r="Y213" s="337"/>
      <c r="Z213" s="123"/>
      <c r="AA213" s="83"/>
      <c r="AB213" s="123"/>
      <c r="AC213" s="83"/>
      <c r="AD213" s="123"/>
      <c r="AE213" s="83"/>
      <c r="AF213" s="123"/>
      <c r="AG213" s="243"/>
      <c r="AH213" s="33"/>
      <c r="AI213" s="245"/>
      <c r="AJ213" s="125"/>
      <c r="AK213" s="92"/>
      <c r="AL213" s="126"/>
      <c r="AM213" s="91"/>
      <c r="AN213" s="91"/>
      <c r="AO213" s="197">
        <f t="shared" si="15"/>
        <v>0</v>
      </c>
      <c r="AP213" s="126"/>
      <c r="AQ213" s="217"/>
      <c r="AR213" s="201"/>
      <c r="AS213" s="266"/>
      <c r="AT213" s="94"/>
      <c r="AU213" s="84"/>
      <c r="AV213" s="80"/>
      <c r="AW213" s="81"/>
      <c r="AX213" s="77"/>
      <c r="AY213" s="107"/>
      <c r="AZ213" s="220">
        <f t="shared" si="12"/>
        <v>0</v>
      </c>
      <c r="BA213" s="220">
        <f t="shared" si="13"/>
        <v>0</v>
      </c>
    </row>
    <row r="214" spans="1:53" ht="50.1" customHeight="1" x14ac:dyDescent="0.25">
      <c r="A214" s="17">
        <f t="shared" si="14"/>
        <v>200</v>
      </c>
      <c r="B214" s="229"/>
      <c r="C214" s="222"/>
      <c r="D214" s="112"/>
      <c r="E214" s="128"/>
      <c r="F214" s="183"/>
      <c r="G214" s="130"/>
      <c r="H214" s="131"/>
      <c r="I214" s="132"/>
      <c r="J214" s="189"/>
      <c r="K214" s="133"/>
      <c r="L214" s="134"/>
      <c r="M214" s="334"/>
      <c r="N214" s="343"/>
      <c r="O214" s="193"/>
      <c r="P214" s="191"/>
      <c r="Q214" s="193"/>
      <c r="R214" s="191"/>
      <c r="S214" s="296"/>
      <c r="T214" s="302"/>
      <c r="U214" s="306"/>
      <c r="V214" s="308"/>
      <c r="W214" s="249"/>
      <c r="X214" s="344"/>
      <c r="Y214" s="337"/>
      <c r="Z214" s="33"/>
      <c r="AA214" s="83"/>
      <c r="AB214" s="33"/>
      <c r="AC214" s="83"/>
      <c r="AD214" s="33"/>
      <c r="AE214" s="83"/>
      <c r="AF214" s="33"/>
      <c r="AG214" s="244"/>
      <c r="AH214" s="83"/>
      <c r="AI214" s="246"/>
      <c r="AJ214" s="102"/>
      <c r="AK214" s="92"/>
      <c r="AL214" s="91"/>
      <c r="AM214" s="92"/>
      <c r="AN214" s="351"/>
      <c r="AO214" s="197">
        <f t="shared" si="15"/>
        <v>0</v>
      </c>
      <c r="AP214" s="91"/>
      <c r="AQ214" s="217"/>
      <c r="AR214" s="196"/>
      <c r="AS214" s="265"/>
      <c r="AT214" s="94"/>
      <c r="AU214" s="84"/>
      <c r="AV214" s="136"/>
      <c r="AW214" s="81"/>
      <c r="AX214" s="137"/>
      <c r="AY214" s="138"/>
      <c r="AZ214" s="220">
        <f t="shared" si="12"/>
        <v>0</v>
      </c>
      <c r="BA214" s="220">
        <f t="shared" si="13"/>
        <v>0</v>
      </c>
    </row>
    <row r="215" spans="1:53" ht="50.1" customHeight="1" x14ac:dyDescent="0.25">
      <c r="A215" s="17">
        <f t="shared" si="14"/>
        <v>201</v>
      </c>
      <c r="B215" s="228"/>
      <c r="C215" s="221"/>
      <c r="D215" s="88"/>
      <c r="E215" s="100"/>
      <c r="F215" s="95"/>
      <c r="G215" s="114"/>
      <c r="H215" s="96"/>
      <c r="I215" s="97"/>
      <c r="J215" s="98"/>
      <c r="K215" s="101"/>
      <c r="L215" s="124"/>
      <c r="M215" s="333"/>
      <c r="N215" s="341"/>
      <c r="O215" s="190"/>
      <c r="P215" s="191"/>
      <c r="Q215" s="190"/>
      <c r="R215" s="191"/>
      <c r="S215" s="294"/>
      <c r="T215" s="300"/>
      <c r="U215" s="306"/>
      <c r="V215" s="308"/>
      <c r="W215" s="248"/>
      <c r="X215" s="342"/>
      <c r="Y215" s="337"/>
      <c r="Z215" s="123"/>
      <c r="AA215" s="83"/>
      <c r="AB215" s="123"/>
      <c r="AC215" s="83"/>
      <c r="AD215" s="123"/>
      <c r="AE215" s="83"/>
      <c r="AF215" s="123"/>
      <c r="AG215" s="243"/>
      <c r="AH215" s="33"/>
      <c r="AI215" s="245"/>
      <c r="AJ215" s="125"/>
      <c r="AK215" s="92"/>
      <c r="AL215" s="126"/>
      <c r="AM215" s="91"/>
      <c r="AN215" s="91"/>
      <c r="AO215" s="197">
        <f t="shared" si="15"/>
        <v>0</v>
      </c>
      <c r="AP215" s="126"/>
      <c r="AQ215" s="217"/>
      <c r="AR215" s="201"/>
      <c r="AS215" s="266"/>
      <c r="AT215" s="94"/>
      <c r="AU215" s="84"/>
      <c r="AV215" s="80"/>
      <c r="AW215" s="81"/>
      <c r="AX215" s="77"/>
      <c r="AY215" s="107"/>
      <c r="AZ215" s="220">
        <f t="shared" si="12"/>
        <v>0</v>
      </c>
      <c r="BA215" s="220">
        <f t="shared" si="13"/>
        <v>0</v>
      </c>
    </row>
    <row r="216" spans="1:53" ht="50.1" customHeight="1" x14ac:dyDescent="0.25">
      <c r="A216" s="17">
        <f t="shared" si="14"/>
        <v>202</v>
      </c>
      <c r="B216" s="229"/>
      <c r="C216" s="222"/>
      <c r="D216" s="112"/>
      <c r="E216" s="128"/>
      <c r="F216" s="183"/>
      <c r="G216" s="130"/>
      <c r="H216" s="131"/>
      <c r="I216" s="132"/>
      <c r="J216" s="189"/>
      <c r="K216" s="133"/>
      <c r="L216" s="134"/>
      <c r="M216" s="334"/>
      <c r="N216" s="343"/>
      <c r="O216" s="192"/>
      <c r="P216" s="191"/>
      <c r="Q216" s="192"/>
      <c r="R216" s="191"/>
      <c r="S216" s="295"/>
      <c r="T216" s="301"/>
      <c r="U216" s="306"/>
      <c r="V216" s="308"/>
      <c r="W216" s="249"/>
      <c r="X216" s="344"/>
      <c r="Y216" s="337"/>
      <c r="Z216" s="33"/>
      <c r="AA216" s="83"/>
      <c r="AB216" s="33"/>
      <c r="AC216" s="83"/>
      <c r="AD216" s="33"/>
      <c r="AE216" s="83"/>
      <c r="AF216" s="33"/>
      <c r="AG216" s="244"/>
      <c r="AH216" s="83"/>
      <c r="AI216" s="246"/>
      <c r="AJ216" s="102"/>
      <c r="AK216" s="92"/>
      <c r="AL216" s="91"/>
      <c r="AM216" s="92"/>
      <c r="AN216" s="351"/>
      <c r="AO216" s="197">
        <f t="shared" si="15"/>
        <v>0</v>
      </c>
      <c r="AP216" s="91"/>
      <c r="AQ216" s="217"/>
      <c r="AR216" s="196"/>
      <c r="AS216" s="265"/>
      <c r="AT216" s="94"/>
      <c r="AU216" s="84"/>
      <c r="AV216" s="136"/>
      <c r="AW216" s="81"/>
      <c r="AX216" s="137"/>
      <c r="AY216" s="138"/>
      <c r="AZ216" s="220">
        <f t="shared" si="12"/>
        <v>0</v>
      </c>
      <c r="BA216" s="220">
        <f t="shared" si="13"/>
        <v>0</v>
      </c>
    </row>
    <row r="217" spans="1:53" ht="50.1" customHeight="1" x14ac:dyDescent="0.25">
      <c r="A217" s="17">
        <f t="shared" si="14"/>
        <v>203</v>
      </c>
      <c r="B217" s="228"/>
      <c r="C217" s="221"/>
      <c r="D217" s="88"/>
      <c r="E217" s="100"/>
      <c r="F217" s="95"/>
      <c r="G217" s="114"/>
      <c r="H217" s="96"/>
      <c r="I217" s="97"/>
      <c r="J217" s="98"/>
      <c r="K217" s="101"/>
      <c r="L217" s="124"/>
      <c r="M217" s="333"/>
      <c r="N217" s="341"/>
      <c r="O217" s="190"/>
      <c r="P217" s="191"/>
      <c r="Q217" s="190"/>
      <c r="R217" s="191"/>
      <c r="S217" s="294"/>
      <c r="T217" s="300"/>
      <c r="U217" s="306"/>
      <c r="V217" s="308"/>
      <c r="W217" s="248"/>
      <c r="X217" s="345"/>
      <c r="Y217" s="337"/>
      <c r="Z217" s="123"/>
      <c r="AA217" s="83"/>
      <c r="AB217" s="123"/>
      <c r="AC217" s="83"/>
      <c r="AD217" s="123"/>
      <c r="AE217" s="83"/>
      <c r="AF217" s="123"/>
      <c r="AG217" s="243"/>
      <c r="AH217" s="123"/>
      <c r="AI217" s="245"/>
      <c r="AJ217" s="125"/>
      <c r="AK217" s="92"/>
      <c r="AL217" s="126"/>
      <c r="AM217" s="91"/>
      <c r="AN217" s="91"/>
      <c r="AO217" s="197">
        <f t="shared" si="15"/>
        <v>0</v>
      </c>
      <c r="AP217" s="126"/>
      <c r="AQ217" s="217"/>
      <c r="AR217" s="201"/>
      <c r="AS217" s="266"/>
      <c r="AT217" s="94"/>
      <c r="AU217" s="84"/>
      <c r="AV217" s="80"/>
      <c r="AW217" s="81"/>
      <c r="AX217" s="77"/>
      <c r="AY217" s="107"/>
      <c r="AZ217" s="220">
        <f t="shared" si="12"/>
        <v>0</v>
      </c>
      <c r="BA217" s="220">
        <f t="shared" si="13"/>
        <v>0</v>
      </c>
    </row>
    <row r="218" spans="1:53" ht="50.1" customHeight="1" x14ac:dyDescent="0.25">
      <c r="A218" s="17">
        <f t="shared" si="14"/>
        <v>204</v>
      </c>
      <c r="B218" s="229"/>
      <c r="C218" s="222"/>
      <c r="D218" s="112"/>
      <c r="E218" s="128"/>
      <c r="F218" s="183"/>
      <c r="G218" s="130"/>
      <c r="H218" s="131"/>
      <c r="I218" s="132"/>
      <c r="J218" s="189"/>
      <c r="K218" s="133"/>
      <c r="L218" s="134"/>
      <c r="M218" s="334"/>
      <c r="N218" s="343"/>
      <c r="O218" s="192"/>
      <c r="P218" s="191"/>
      <c r="Q218" s="192"/>
      <c r="R218" s="191"/>
      <c r="S218" s="295"/>
      <c r="T218" s="301"/>
      <c r="U218" s="306"/>
      <c r="V218" s="308"/>
      <c r="W218" s="249"/>
      <c r="X218" s="344"/>
      <c r="Y218" s="337"/>
      <c r="Z218" s="33"/>
      <c r="AA218" s="83"/>
      <c r="AB218" s="33"/>
      <c r="AC218" s="83"/>
      <c r="AD218" s="33"/>
      <c r="AE218" s="83"/>
      <c r="AF218" s="33"/>
      <c r="AG218" s="244"/>
      <c r="AH218" s="83"/>
      <c r="AI218" s="246"/>
      <c r="AJ218" s="102"/>
      <c r="AK218" s="92"/>
      <c r="AL218" s="91"/>
      <c r="AM218" s="92"/>
      <c r="AN218" s="351"/>
      <c r="AO218" s="197">
        <f t="shared" si="15"/>
        <v>0</v>
      </c>
      <c r="AP218" s="91"/>
      <c r="AQ218" s="217"/>
      <c r="AR218" s="196"/>
      <c r="AS218" s="265"/>
      <c r="AT218" s="94"/>
      <c r="AU218" s="84"/>
      <c r="AV218" s="136"/>
      <c r="AW218" s="81"/>
      <c r="AX218" s="137"/>
      <c r="AY218" s="138"/>
      <c r="AZ218" s="220">
        <f t="shared" si="12"/>
        <v>0</v>
      </c>
      <c r="BA218" s="220">
        <f t="shared" si="13"/>
        <v>0</v>
      </c>
    </row>
    <row r="219" spans="1:53" ht="50.1" customHeight="1" x14ac:dyDescent="0.25">
      <c r="A219" s="17">
        <f t="shared" si="14"/>
        <v>205</v>
      </c>
      <c r="B219" s="228"/>
      <c r="C219" s="221"/>
      <c r="D219" s="88"/>
      <c r="E219" s="100"/>
      <c r="F219" s="95"/>
      <c r="G219" s="114"/>
      <c r="H219" s="96"/>
      <c r="I219" s="97"/>
      <c r="J219" s="98"/>
      <c r="K219" s="101"/>
      <c r="L219" s="124"/>
      <c r="M219" s="333"/>
      <c r="N219" s="341"/>
      <c r="O219" s="190"/>
      <c r="P219" s="191"/>
      <c r="Q219" s="190"/>
      <c r="R219" s="191"/>
      <c r="S219" s="294"/>
      <c r="T219" s="300"/>
      <c r="U219" s="306"/>
      <c r="V219" s="308"/>
      <c r="W219" s="248"/>
      <c r="X219" s="342"/>
      <c r="Y219" s="337"/>
      <c r="Z219" s="123"/>
      <c r="AA219" s="83"/>
      <c r="AB219" s="123"/>
      <c r="AC219" s="83"/>
      <c r="AD219" s="123"/>
      <c r="AE219" s="83"/>
      <c r="AF219" s="123"/>
      <c r="AG219" s="243"/>
      <c r="AH219" s="33"/>
      <c r="AI219" s="245"/>
      <c r="AJ219" s="125"/>
      <c r="AK219" s="92"/>
      <c r="AL219" s="126"/>
      <c r="AM219" s="91"/>
      <c r="AN219" s="91"/>
      <c r="AO219" s="197">
        <f t="shared" si="15"/>
        <v>0</v>
      </c>
      <c r="AP219" s="126"/>
      <c r="AQ219" s="217"/>
      <c r="AR219" s="201"/>
      <c r="AS219" s="266"/>
      <c r="AT219" s="94"/>
      <c r="AU219" s="84"/>
      <c r="AV219" s="80"/>
      <c r="AW219" s="81"/>
      <c r="AX219" s="77"/>
      <c r="AY219" s="107"/>
      <c r="AZ219" s="220">
        <f t="shared" si="12"/>
        <v>0</v>
      </c>
      <c r="BA219" s="220">
        <f t="shared" si="13"/>
        <v>0</v>
      </c>
    </row>
    <row r="220" spans="1:53" ht="50.1" customHeight="1" x14ac:dyDescent="0.25">
      <c r="A220" s="17">
        <f t="shared" si="14"/>
        <v>206</v>
      </c>
      <c r="B220" s="229"/>
      <c r="C220" s="222"/>
      <c r="D220" s="112"/>
      <c r="E220" s="128"/>
      <c r="F220" s="183"/>
      <c r="G220" s="130"/>
      <c r="H220" s="131"/>
      <c r="I220" s="132"/>
      <c r="J220" s="189"/>
      <c r="K220" s="133"/>
      <c r="L220" s="134"/>
      <c r="M220" s="334"/>
      <c r="N220" s="343"/>
      <c r="O220" s="192"/>
      <c r="P220" s="191"/>
      <c r="Q220" s="192"/>
      <c r="R220" s="191"/>
      <c r="S220" s="295"/>
      <c r="T220" s="301"/>
      <c r="U220" s="306"/>
      <c r="V220" s="308"/>
      <c r="W220" s="249"/>
      <c r="X220" s="344"/>
      <c r="Y220" s="337"/>
      <c r="Z220" s="33"/>
      <c r="AA220" s="83"/>
      <c r="AB220" s="33"/>
      <c r="AC220" s="83"/>
      <c r="AD220" s="33"/>
      <c r="AE220" s="83"/>
      <c r="AF220" s="33"/>
      <c r="AG220" s="244"/>
      <c r="AH220" s="83"/>
      <c r="AI220" s="246"/>
      <c r="AJ220" s="102"/>
      <c r="AK220" s="92"/>
      <c r="AL220" s="91"/>
      <c r="AM220" s="92"/>
      <c r="AN220" s="351"/>
      <c r="AO220" s="197">
        <f t="shared" si="15"/>
        <v>0</v>
      </c>
      <c r="AP220" s="91"/>
      <c r="AQ220" s="217"/>
      <c r="AR220" s="196"/>
      <c r="AS220" s="265"/>
      <c r="AT220" s="94"/>
      <c r="AU220" s="84"/>
      <c r="AV220" s="136"/>
      <c r="AW220" s="81"/>
      <c r="AX220" s="137"/>
      <c r="AY220" s="138"/>
      <c r="AZ220" s="220">
        <f t="shared" si="12"/>
        <v>0</v>
      </c>
      <c r="BA220" s="220">
        <f t="shared" si="13"/>
        <v>0</v>
      </c>
    </row>
    <row r="221" spans="1:53" ht="50.1" customHeight="1" x14ac:dyDescent="0.25">
      <c r="A221" s="17">
        <f t="shared" si="14"/>
        <v>207</v>
      </c>
      <c r="B221" s="228"/>
      <c r="C221" s="221"/>
      <c r="D221" s="88"/>
      <c r="E221" s="100"/>
      <c r="F221" s="95"/>
      <c r="G221" s="114"/>
      <c r="H221" s="96"/>
      <c r="I221" s="97"/>
      <c r="J221" s="98"/>
      <c r="K221" s="101"/>
      <c r="L221" s="124"/>
      <c r="M221" s="333"/>
      <c r="N221" s="341"/>
      <c r="O221" s="190"/>
      <c r="P221" s="191"/>
      <c r="Q221" s="190"/>
      <c r="R221" s="191"/>
      <c r="S221" s="294"/>
      <c r="T221" s="300"/>
      <c r="U221" s="306"/>
      <c r="V221" s="308"/>
      <c r="W221" s="248"/>
      <c r="X221" s="342"/>
      <c r="Y221" s="337"/>
      <c r="Z221" s="123"/>
      <c r="AA221" s="83"/>
      <c r="AB221" s="123"/>
      <c r="AC221" s="83"/>
      <c r="AD221" s="123"/>
      <c r="AE221" s="83"/>
      <c r="AF221" s="123"/>
      <c r="AG221" s="243"/>
      <c r="AH221" s="33"/>
      <c r="AI221" s="245"/>
      <c r="AJ221" s="125"/>
      <c r="AK221" s="92"/>
      <c r="AL221" s="126"/>
      <c r="AM221" s="91"/>
      <c r="AN221" s="91"/>
      <c r="AO221" s="197">
        <f t="shared" si="15"/>
        <v>0</v>
      </c>
      <c r="AP221" s="126"/>
      <c r="AQ221" s="217"/>
      <c r="AR221" s="201"/>
      <c r="AS221" s="266"/>
      <c r="AT221" s="94"/>
      <c r="AU221" s="84"/>
      <c r="AV221" s="80"/>
      <c r="AW221" s="81"/>
      <c r="AX221" s="77"/>
      <c r="AY221" s="107"/>
      <c r="AZ221" s="220">
        <f t="shared" si="12"/>
        <v>0</v>
      </c>
      <c r="BA221" s="220">
        <f t="shared" si="13"/>
        <v>0</v>
      </c>
    </row>
    <row r="222" spans="1:53" ht="50.1" customHeight="1" x14ac:dyDescent="0.25">
      <c r="A222" s="17">
        <f t="shared" si="14"/>
        <v>208</v>
      </c>
      <c r="B222" s="229"/>
      <c r="C222" s="222"/>
      <c r="D222" s="112"/>
      <c r="E222" s="128"/>
      <c r="F222" s="183"/>
      <c r="G222" s="130"/>
      <c r="H222" s="131"/>
      <c r="I222" s="132"/>
      <c r="J222" s="189"/>
      <c r="K222" s="133"/>
      <c r="L222" s="134"/>
      <c r="M222" s="334"/>
      <c r="N222" s="343"/>
      <c r="O222" s="192"/>
      <c r="P222" s="191"/>
      <c r="Q222" s="192"/>
      <c r="R222" s="191"/>
      <c r="S222" s="295"/>
      <c r="T222" s="301"/>
      <c r="U222" s="306"/>
      <c r="V222" s="308"/>
      <c r="W222" s="249"/>
      <c r="X222" s="344"/>
      <c r="Y222" s="337"/>
      <c r="Z222" s="33"/>
      <c r="AA222" s="83"/>
      <c r="AB222" s="33"/>
      <c r="AC222" s="83"/>
      <c r="AD222" s="33"/>
      <c r="AE222" s="83"/>
      <c r="AF222" s="33"/>
      <c r="AG222" s="244"/>
      <c r="AH222" s="83"/>
      <c r="AI222" s="246"/>
      <c r="AJ222" s="102"/>
      <c r="AK222" s="92"/>
      <c r="AL222" s="91"/>
      <c r="AM222" s="92"/>
      <c r="AN222" s="351"/>
      <c r="AO222" s="197">
        <f t="shared" si="15"/>
        <v>0</v>
      </c>
      <c r="AP222" s="91"/>
      <c r="AQ222" s="217"/>
      <c r="AR222" s="196"/>
      <c r="AS222" s="265"/>
      <c r="AT222" s="94"/>
      <c r="AU222" s="84"/>
      <c r="AV222" s="136"/>
      <c r="AW222" s="81"/>
      <c r="AX222" s="137"/>
      <c r="AY222" s="138"/>
      <c r="AZ222" s="220">
        <f t="shared" si="12"/>
        <v>0</v>
      </c>
      <c r="BA222" s="220">
        <f t="shared" si="13"/>
        <v>0</v>
      </c>
    </row>
    <row r="223" spans="1:53" ht="50.1" customHeight="1" x14ac:dyDescent="0.25">
      <c r="A223" s="17">
        <f t="shared" si="14"/>
        <v>209</v>
      </c>
      <c r="B223" s="228"/>
      <c r="C223" s="221"/>
      <c r="D223" s="88"/>
      <c r="E223" s="100"/>
      <c r="F223" s="95"/>
      <c r="G223" s="114"/>
      <c r="H223" s="96"/>
      <c r="I223" s="97"/>
      <c r="J223" s="98"/>
      <c r="K223" s="101"/>
      <c r="L223" s="124"/>
      <c r="M223" s="333"/>
      <c r="N223" s="341"/>
      <c r="O223" s="190"/>
      <c r="P223" s="191"/>
      <c r="Q223" s="190"/>
      <c r="R223" s="191"/>
      <c r="S223" s="294"/>
      <c r="T223" s="300"/>
      <c r="U223" s="306"/>
      <c r="V223" s="308"/>
      <c r="W223" s="248"/>
      <c r="X223" s="342"/>
      <c r="Y223" s="337"/>
      <c r="Z223" s="123"/>
      <c r="AA223" s="83"/>
      <c r="AB223" s="123"/>
      <c r="AC223" s="83"/>
      <c r="AD223" s="123"/>
      <c r="AE223" s="83"/>
      <c r="AF223" s="123"/>
      <c r="AG223" s="243"/>
      <c r="AH223" s="33"/>
      <c r="AI223" s="245"/>
      <c r="AJ223" s="125"/>
      <c r="AK223" s="92"/>
      <c r="AL223" s="126"/>
      <c r="AM223" s="91"/>
      <c r="AN223" s="91"/>
      <c r="AO223" s="197">
        <f t="shared" si="15"/>
        <v>0</v>
      </c>
      <c r="AP223" s="126"/>
      <c r="AQ223" s="217"/>
      <c r="AR223" s="201"/>
      <c r="AS223" s="266"/>
      <c r="AT223" s="94"/>
      <c r="AU223" s="84"/>
      <c r="AV223" s="80"/>
      <c r="AW223" s="81"/>
      <c r="AX223" s="77"/>
      <c r="AY223" s="107"/>
      <c r="AZ223" s="220">
        <f t="shared" si="12"/>
        <v>0</v>
      </c>
      <c r="BA223" s="220">
        <f t="shared" si="13"/>
        <v>0</v>
      </c>
    </row>
    <row r="224" spans="1:53" ht="50.1" customHeight="1" x14ac:dyDescent="0.25">
      <c r="A224" s="17">
        <f t="shared" si="14"/>
        <v>210</v>
      </c>
      <c r="B224" s="229"/>
      <c r="C224" s="222"/>
      <c r="D224" s="112"/>
      <c r="E224" s="128"/>
      <c r="F224" s="183"/>
      <c r="G224" s="130"/>
      <c r="H224" s="131"/>
      <c r="I224" s="132"/>
      <c r="J224" s="189"/>
      <c r="K224" s="133"/>
      <c r="L224" s="134"/>
      <c r="M224" s="334"/>
      <c r="N224" s="343"/>
      <c r="O224" s="192"/>
      <c r="P224" s="191"/>
      <c r="Q224" s="192"/>
      <c r="R224" s="191"/>
      <c r="S224" s="295"/>
      <c r="T224" s="301"/>
      <c r="U224" s="306"/>
      <c r="V224" s="308"/>
      <c r="W224" s="249"/>
      <c r="X224" s="344"/>
      <c r="Y224" s="337"/>
      <c r="Z224" s="33"/>
      <c r="AA224" s="83"/>
      <c r="AB224" s="33"/>
      <c r="AC224" s="83"/>
      <c r="AD224" s="33"/>
      <c r="AE224" s="83"/>
      <c r="AF224" s="33"/>
      <c r="AG224" s="244"/>
      <c r="AH224" s="83"/>
      <c r="AI224" s="246"/>
      <c r="AJ224" s="102"/>
      <c r="AK224" s="92"/>
      <c r="AL224" s="91"/>
      <c r="AM224" s="92"/>
      <c r="AN224" s="351"/>
      <c r="AO224" s="197">
        <f t="shared" si="15"/>
        <v>0</v>
      </c>
      <c r="AP224" s="91"/>
      <c r="AQ224" s="217"/>
      <c r="AR224" s="196"/>
      <c r="AS224" s="265"/>
      <c r="AT224" s="94"/>
      <c r="AU224" s="84"/>
      <c r="AV224" s="136"/>
      <c r="AW224" s="81"/>
      <c r="AX224" s="137"/>
      <c r="AY224" s="138"/>
      <c r="AZ224" s="220">
        <f t="shared" si="12"/>
        <v>0</v>
      </c>
      <c r="BA224" s="220">
        <f t="shared" si="13"/>
        <v>0</v>
      </c>
    </row>
    <row r="225" spans="1:53" ht="50.1" customHeight="1" x14ac:dyDescent="0.25">
      <c r="A225" s="17">
        <f t="shared" si="14"/>
        <v>211</v>
      </c>
      <c r="B225" s="228"/>
      <c r="C225" s="221"/>
      <c r="D225" s="88"/>
      <c r="E225" s="100"/>
      <c r="F225" s="95"/>
      <c r="G225" s="114"/>
      <c r="H225" s="96"/>
      <c r="I225" s="97"/>
      <c r="J225" s="98"/>
      <c r="K225" s="101"/>
      <c r="L225" s="124"/>
      <c r="M225" s="333"/>
      <c r="N225" s="341"/>
      <c r="O225" s="190"/>
      <c r="P225" s="191"/>
      <c r="Q225" s="190"/>
      <c r="R225" s="191"/>
      <c r="S225" s="294"/>
      <c r="T225" s="300"/>
      <c r="U225" s="306"/>
      <c r="V225" s="308"/>
      <c r="W225" s="248"/>
      <c r="X225" s="342"/>
      <c r="Y225" s="337"/>
      <c r="Z225" s="123"/>
      <c r="AA225" s="83"/>
      <c r="AB225" s="123"/>
      <c r="AC225" s="83"/>
      <c r="AD225" s="123"/>
      <c r="AE225" s="83"/>
      <c r="AF225" s="123"/>
      <c r="AG225" s="243"/>
      <c r="AH225" s="33"/>
      <c r="AI225" s="245"/>
      <c r="AJ225" s="125"/>
      <c r="AK225" s="92"/>
      <c r="AL225" s="126"/>
      <c r="AM225" s="91"/>
      <c r="AN225" s="91"/>
      <c r="AO225" s="197">
        <f t="shared" si="15"/>
        <v>0</v>
      </c>
      <c r="AP225" s="126"/>
      <c r="AQ225" s="217"/>
      <c r="AR225" s="201"/>
      <c r="AS225" s="266"/>
      <c r="AT225" s="94"/>
      <c r="AU225" s="84"/>
      <c r="AV225" s="80"/>
      <c r="AW225" s="81"/>
      <c r="AX225" s="77"/>
      <c r="AY225" s="107"/>
      <c r="AZ225" s="220">
        <f t="shared" si="12"/>
        <v>0</v>
      </c>
      <c r="BA225" s="220">
        <f t="shared" si="13"/>
        <v>0</v>
      </c>
    </row>
    <row r="226" spans="1:53" ht="50.1" customHeight="1" x14ac:dyDescent="0.25">
      <c r="A226" s="17">
        <f t="shared" si="14"/>
        <v>212</v>
      </c>
      <c r="B226" s="229"/>
      <c r="C226" s="222"/>
      <c r="D226" s="112"/>
      <c r="E226" s="128"/>
      <c r="F226" s="183"/>
      <c r="G226" s="130"/>
      <c r="H226" s="131"/>
      <c r="I226" s="132"/>
      <c r="J226" s="189"/>
      <c r="K226" s="133"/>
      <c r="L226" s="134"/>
      <c r="M226" s="334"/>
      <c r="N226" s="343"/>
      <c r="O226" s="192"/>
      <c r="P226" s="191"/>
      <c r="Q226" s="192"/>
      <c r="R226" s="191"/>
      <c r="S226" s="295"/>
      <c r="T226" s="301"/>
      <c r="U226" s="306"/>
      <c r="V226" s="308"/>
      <c r="W226" s="249"/>
      <c r="X226" s="344"/>
      <c r="Y226" s="337"/>
      <c r="Z226" s="33"/>
      <c r="AA226" s="83"/>
      <c r="AB226" s="33"/>
      <c r="AC226" s="83"/>
      <c r="AD226" s="33"/>
      <c r="AE226" s="83"/>
      <c r="AF226" s="33"/>
      <c r="AG226" s="244"/>
      <c r="AH226" s="83"/>
      <c r="AI226" s="246"/>
      <c r="AJ226" s="195"/>
      <c r="AK226" s="92"/>
      <c r="AL226" s="91"/>
      <c r="AM226" s="92"/>
      <c r="AN226" s="351"/>
      <c r="AO226" s="197">
        <f t="shared" si="15"/>
        <v>0</v>
      </c>
      <c r="AP226" s="91"/>
      <c r="AQ226" s="217"/>
      <c r="AR226" s="196"/>
      <c r="AS226" s="265"/>
      <c r="AT226" s="94"/>
      <c r="AU226" s="84"/>
      <c r="AV226" s="136"/>
      <c r="AW226" s="81"/>
      <c r="AX226" s="137"/>
      <c r="AY226" s="138"/>
      <c r="AZ226" s="220">
        <f t="shared" si="12"/>
        <v>0</v>
      </c>
      <c r="BA226" s="220">
        <f t="shared" si="13"/>
        <v>0</v>
      </c>
    </row>
    <row r="227" spans="1:53" ht="50.1" customHeight="1" x14ac:dyDescent="0.25">
      <c r="A227" s="17">
        <f t="shared" si="14"/>
        <v>213</v>
      </c>
      <c r="B227" s="228"/>
      <c r="C227" s="221"/>
      <c r="D227" s="88"/>
      <c r="E227" s="100"/>
      <c r="F227" s="95"/>
      <c r="G227" s="114"/>
      <c r="H227" s="96"/>
      <c r="I227" s="97"/>
      <c r="J227" s="98"/>
      <c r="K227" s="101"/>
      <c r="L227" s="124"/>
      <c r="M227" s="333"/>
      <c r="N227" s="341"/>
      <c r="O227" s="190"/>
      <c r="P227" s="191"/>
      <c r="Q227" s="190"/>
      <c r="R227" s="191"/>
      <c r="S227" s="294"/>
      <c r="T227" s="300"/>
      <c r="U227" s="306"/>
      <c r="V227" s="308"/>
      <c r="W227" s="248"/>
      <c r="X227" s="342"/>
      <c r="Y227" s="337"/>
      <c r="Z227" s="123"/>
      <c r="AA227" s="83"/>
      <c r="AB227" s="123"/>
      <c r="AC227" s="83"/>
      <c r="AD227" s="123"/>
      <c r="AE227" s="83"/>
      <c r="AF227" s="123"/>
      <c r="AG227" s="243"/>
      <c r="AH227" s="33"/>
      <c r="AI227" s="245"/>
      <c r="AJ227" s="198"/>
      <c r="AK227" s="92"/>
      <c r="AL227" s="126"/>
      <c r="AM227" s="91"/>
      <c r="AN227" s="91"/>
      <c r="AO227" s="197">
        <f t="shared" si="15"/>
        <v>0</v>
      </c>
      <c r="AP227" s="126"/>
      <c r="AQ227" s="217"/>
      <c r="AR227" s="201"/>
      <c r="AS227" s="266"/>
      <c r="AT227" s="94"/>
      <c r="AU227" s="84"/>
      <c r="AV227" s="80"/>
      <c r="AW227" s="81"/>
      <c r="AX227" s="77"/>
      <c r="AY227" s="107"/>
      <c r="AZ227" s="220">
        <f t="shared" si="12"/>
        <v>0</v>
      </c>
      <c r="BA227" s="220">
        <f t="shared" si="13"/>
        <v>0</v>
      </c>
    </row>
    <row r="228" spans="1:53" ht="50.1" customHeight="1" x14ac:dyDescent="0.25">
      <c r="A228" s="17">
        <f t="shared" si="14"/>
        <v>214</v>
      </c>
      <c r="B228" s="229"/>
      <c r="C228" s="222"/>
      <c r="D228" s="112"/>
      <c r="E228" s="128"/>
      <c r="F228" s="183"/>
      <c r="G228" s="130"/>
      <c r="H228" s="131"/>
      <c r="I228" s="132"/>
      <c r="J228" s="189"/>
      <c r="K228" s="133"/>
      <c r="L228" s="134"/>
      <c r="M228" s="334"/>
      <c r="N228" s="343"/>
      <c r="O228" s="193"/>
      <c r="P228" s="191"/>
      <c r="Q228" s="193"/>
      <c r="R228" s="191"/>
      <c r="S228" s="296"/>
      <c r="T228" s="302"/>
      <c r="U228" s="306"/>
      <c r="V228" s="308"/>
      <c r="W228" s="249"/>
      <c r="X228" s="344"/>
      <c r="Y228" s="337"/>
      <c r="Z228" s="33"/>
      <c r="AA228" s="83"/>
      <c r="AB228" s="33"/>
      <c r="AC228" s="83"/>
      <c r="AD228" s="33"/>
      <c r="AE228" s="83"/>
      <c r="AF228" s="33"/>
      <c r="AG228" s="244"/>
      <c r="AH228" s="83"/>
      <c r="AI228" s="246"/>
      <c r="AJ228" s="195"/>
      <c r="AK228" s="92"/>
      <c r="AL228" s="91"/>
      <c r="AM228" s="92"/>
      <c r="AN228" s="351"/>
      <c r="AO228" s="197">
        <f t="shared" si="15"/>
        <v>0</v>
      </c>
      <c r="AP228" s="91"/>
      <c r="AQ228" s="217"/>
      <c r="AR228" s="196"/>
      <c r="AS228" s="265"/>
      <c r="AT228" s="94"/>
      <c r="AU228" s="84"/>
      <c r="AV228" s="136"/>
      <c r="AW228" s="81"/>
      <c r="AX228" s="137"/>
      <c r="AY228" s="138"/>
      <c r="AZ228" s="220">
        <f t="shared" si="12"/>
        <v>0</v>
      </c>
      <c r="BA228" s="220">
        <f t="shared" si="13"/>
        <v>0</v>
      </c>
    </row>
    <row r="229" spans="1:53" ht="50.1" customHeight="1" x14ac:dyDescent="0.25">
      <c r="A229" s="17">
        <f t="shared" si="14"/>
        <v>215</v>
      </c>
      <c r="B229" s="228"/>
      <c r="C229" s="221"/>
      <c r="D229" s="88"/>
      <c r="E229" s="100"/>
      <c r="F229" s="95"/>
      <c r="G229" s="114"/>
      <c r="H229" s="96"/>
      <c r="I229" s="97"/>
      <c r="J229" s="98"/>
      <c r="K229" s="101"/>
      <c r="L229" s="124"/>
      <c r="M229" s="333"/>
      <c r="N229" s="341"/>
      <c r="O229" s="190"/>
      <c r="P229" s="191"/>
      <c r="Q229" s="190"/>
      <c r="R229" s="191"/>
      <c r="S229" s="294"/>
      <c r="T229" s="300"/>
      <c r="U229" s="306"/>
      <c r="V229" s="308"/>
      <c r="W229" s="248"/>
      <c r="X229" s="342"/>
      <c r="Y229" s="337"/>
      <c r="Z229" s="123"/>
      <c r="AA229" s="83"/>
      <c r="AB229" s="123"/>
      <c r="AC229" s="83"/>
      <c r="AD229" s="123"/>
      <c r="AE229" s="83"/>
      <c r="AF229" s="123"/>
      <c r="AG229" s="243"/>
      <c r="AH229" s="33"/>
      <c r="AI229" s="245"/>
      <c r="AJ229" s="125"/>
      <c r="AK229" s="92"/>
      <c r="AL229" s="126"/>
      <c r="AM229" s="91"/>
      <c r="AN229" s="91"/>
      <c r="AO229" s="197">
        <f t="shared" si="15"/>
        <v>0</v>
      </c>
      <c r="AP229" s="126"/>
      <c r="AQ229" s="217"/>
      <c r="AR229" s="201"/>
      <c r="AS229" s="266"/>
      <c r="AT229" s="94"/>
      <c r="AU229" s="84"/>
      <c r="AV229" s="80"/>
      <c r="AW229" s="81"/>
      <c r="AX229" s="77"/>
      <c r="AY229" s="107"/>
      <c r="AZ229" s="220">
        <f t="shared" si="12"/>
        <v>0</v>
      </c>
      <c r="BA229" s="220">
        <f t="shared" si="13"/>
        <v>0</v>
      </c>
    </row>
    <row r="230" spans="1:53" ht="50.1" customHeight="1" x14ac:dyDescent="0.25">
      <c r="A230" s="17">
        <f t="shared" si="14"/>
        <v>216</v>
      </c>
      <c r="B230" s="229"/>
      <c r="C230" s="222"/>
      <c r="D230" s="112"/>
      <c r="E230" s="128"/>
      <c r="F230" s="183"/>
      <c r="G230" s="130"/>
      <c r="H230" s="131"/>
      <c r="I230" s="132"/>
      <c r="J230" s="189"/>
      <c r="K230" s="133"/>
      <c r="L230" s="134"/>
      <c r="M230" s="334"/>
      <c r="N230" s="343"/>
      <c r="O230" s="192"/>
      <c r="P230" s="191"/>
      <c r="Q230" s="192"/>
      <c r="R230" s="191"/>
      <c r="S230" s="295"/>
      <c r="T230" s="301"/>
      <c r="U230" s="306"/>
      <c r="V230" s="308"/>
      <c r="W230" s="249"/>
      <c r="X230" s="344"/>
      <c r="Y230" s="337"/>
      <c r="Z230" s="33"/>
      <c r="AA230" s="83"/>
      <c r="AB230" s="33"/>
      <c r="AC230" s="83"/>
      <c r="AD230" s="33"/>
      <c r="AE230" s="83"/>
      <c r="AF230" s="33"/>
      <c r="AG230" s="244"/>
      <c r="AH230" s="83"/>
      <c r="AI230" s="246"/>
      <c r="AJ230" s="102"/>
      <c r="AK230" s="92"/>
      <c r="AL230" s="91"/>
      <c r="AM230" s="92"/>
      <c r="AN230" s="351"/>
      <c r="AO230" s="197">
        <f t="shared" si="15"/>
        <v>0</v>
      </c>
      <c r="AP230" s="91"/>
      <c r="AQ230" s="217"/>
      <c r="AR230" s="196"/>
      <c r="AS230" s="265"/>
      <c r="AT230" s="94"/>
      <c r="AU230" s="84"/>
      <c r="AV230" s="136"/>
      <c r="AW230" s="81"/>
      <c r="AX230" s="137"/>
      <c r="AY230" s="138"/>
      <c r="AZ230" s="220">
        <f t="shared" si="12"/>
        <v>0</v>
      </c>
      <c r="BA230" s="220">
        <f t="shared" si="13"/>
        <v>0</v>
      </c>
    </row>
    <row r="231" spans="1:53" ht="50.1" customHeight="1" x14ac:dyDescent="0.25">
      <c r="A231" s="17">
        <f t="shared" si="14"/>
        <v>217</v>
      </c>
      <c r="B231" s="228"/>
      <c r="C231" s="221"/>
      <c r="D231" s="88"/>
      <c r="E231" s="100"/>
      <c r="F231" s="95"/>
      <c r="G231" s="114"/>
      <c r="H231" s="96"/>
      <c r="I231" s="97"/>
      <c r="J231" s="98"/>
      <c r="K231" s="101"/>
      <c r="L231" s="124"/>
      <c r="M231" s="333"/>
      <c r="N231" s="341"/>
      <c r="O231" s="190"/>
      <c r="P231" s="191"/>
      <c r="Q231" s="190"/>
      <c r="R231" s="191"/>
      <c r="S231" s="294"/>
      <c r="T231" s="300"/>
      <c r="U231" s="306"/>
      <c r="V231" s="308"/>
      <c r="W231" s="248"/>
      <c r="X231" s="342"/>
      <c r="Y231" s="337"/>
      <c r="Z231" s="123"/>
      <c r="AA231" s="83"/>
      <c r="AB231" s="123"/>
      <c r="AC231" s="83"/>
      <c r="AD231" s="123"/>
      <c r="AE231" s="83"/>
      <c r="AF231" s="123"/>
      <c r="AG231" s="243"/>
      <c r="AH231" s="33"/>
      <c r="AI231" s="245"/>
      <c r="AJ231" s="125"/>
      <c r="AK231" s="92"/>
      <c r="AL231" s="126"/>
      <c r="AM231" s="91"/>
      <c r="AN231" s="91"/>
      <c r="AO231" s="197">
        <f t="shared" si="15"/>
        <v>0</v>
      </c>
      <c r="AP231" s="126"/>
      <c r="AQ231" s="217"/>
      <c r="AR231" s="201"/>
      <c r="AS231" s="266"/>
      <c r="AT231" s="94"/>
      <c r="AU231" s="84"/>
      <c r="AV231" s="80"/>
      <c r="AW231" s="81"/>
      <c r="AX231" s="77"/>
      <c r="AY231" s="107"/>
      <c r="AZ231" s="220">
        <f t="shared" si="12"/>
        <v>0</v>
      </c>
      <c r="BA231" s="220">
        <f t="shared" si="13"/>
        <v>0</v>
      </c>
    </row>
    <row r="232" spans="1:53" ht="50.1" customHeight="1" x14ac:dyDescent="0.25">
      <c r="A232" s="17">
        <f t="shared" si="14"/>
        <v>218</v>
      </c>
      <c r="B232" s="229"/>
      <c r="C232" s="222"/>
      <c r="D232" s="112"/>
      <c r="E232" s="128"/>
      <c r="F232" s="183"/>
      <c r="G232" s="130"/>
      <c r="H232" s="131"/>
      <c r="I232" s="132"/>
      <c r="J232" s="189"/>
      <c r="K232" s="133"/>
      <c r="L232" s="134"/>
      <c r="M232" s="334"/>
      <c r="N232" s="343"/>
      <c r="O232" s="193"/>
      <c r="P232" s="191"/>
      <c r="Q232" s="193"/>
      <c r="R232" s="191"/>
      <c r="S232" s="296"/>
      <c r="T232" s="302"/>
      <c r="U232" s="306"/>
      <c r="V232" s="308"/>
      <c r="W232" s="249"/>
      <c r="X232" s="344"/>
      <c r="Y232" s="337"/>
      <c r="Z232" s="33"/>
      <c r="AA232" s="83"/>
      <c r="AB232" s="33"/>
      <c r="AC232" s="83"/>
      <c r="AD232" s="33"/>
      <c r="AE232" s="83"/>
      <c r="AF232" s="33"/>
      <c r="AG232" s="244"/>
      <c r="AH232" s="83"/>
      <c r="AI232" s="246"/>
      <c r="AJ232" s="102"/>
      <c r="AK232" s="92"/>
      <c r="AL232" s="91"/>
      <c r="AM232" s="92"/>
      <c r="AN232" s="351"/>
      <c r="AO232" s="197">
        <f t="shared" si="15"/>
        <v>0</v>
      </c>
      <c r="AP232" s="91"/>
      <c r="AQ232" s="217"/>
      <c r="AR232" s="196"/>
      <c r="AS232" s="265"/>
      <c r="AT232" s="94"/>
      <c r="AU232" s="84"/>
      <c r="AV232" s="136"/>
      <c r="AW232" s="81"/>
      <c r="AX232" s="137"/>
      <c r="AY232" s="138"/>
      <c r="AZ232" s="220">
        <f t="shared" si="12"/>
        <v>0</v>
      </c>
      <c r="BA232" s="220">
        <f t="shared" si="13"/>
        <v>0</v>
      </c>
    </row>
    <row r="233" spans="1:53" ht="50.1" customHeight="1" x14ac:dyDescent="0.25">
      <c r="A233" s="17">
        <f t="shared" si="14"/>
        <v>219</v>
      </c>
      <c r="B233" s="228"/>
      <c r="C233" s="221"/>
      <c r="D233" s="88"/>
      <c r="E233" s="100"/>
      <c r="F233" s="95"/>
      <c r="G233" s="290"/>
      <c r="H233" s="96"/>
      <c r="I233" s="97"/>
      <c r="J233" s="98"/>
      <c r="K233" s="101"/>
      <c r="L233" s="124"/>
      <c r="M233" s="333"/>
      <c r="N233" s="341"/>
      <c r="O233" s="190"/>
      <c r="P233" s="191"/>
      <c r="Q233" s="190"/>
      <c r="R233" s="191"/>
      <c r="S233" s="294"/>
      <c r="T233" s="300"/>
      <c r="U233" s="306"/>
      <c r="V233" s="308"/>
      <c r="W233" s="248"/>
      <c r="X233" s="342"/>
      <c r="Y233" s="337"/>
      <c r="Z233" s="123"/>
      <c r="AA233" s="83"/>
      <c r="AB233" s="123"/>
      <c r="AC233" s="83"/>
      <c r="AD233" s="123"/>
      <c r="AE233" s="83"/>
      <c r="AF233" s="123"/>
      <c r="AG233" s="243"/>
      <c r="AH233" s="33"/>
      <c r="AI233" s="245"/>
      <c r="AJ233" s="125"/>
      <c r="AK233" s="92"/>
      <c r="AL233" s="126"/>
      <c r="AM233" s="91"/>
      <c r="AN233" s="91"/>
      <c r="AO233" s="197">
        <f t="shared" si="15"/>
        <v>0</v>
      </c>
      <c r="AP233" s="126"/>
      <c r="AQ233" s="217"/>
      <c r="AR233" s="201"/>
      <c r="AS233" s="266"/>
      <c r="AT233" s="94"/>
      <c r="AU233" s="84"/>
      <c r="AV233" s="80"/>
      <c r="AW233" s="81"/>
      <c r="AX233" s="77"/>
      <c r="AY233" s="107"/>
      <c r="AZ233" s="220">
        <f t="shared" si="12"/>
        <v>0</v>
      </c>
      <c r="BA233" s="220">
        <f t="shared" si="13"/>
        <v>0</v>
      </c>
    </row>
    <row r="234" spans="1:53" ht="50.1" customHeight="1" x14ac:dyDescent="0.25">
      <c r="A234" s="17">
        <f t="shared" si="14"/>
        <v>220</v>
      </c>
      <c r="B234" s="229"/>
      <c r="C234" s="222"/>
      <c r="D234" s="112"/>
      <c r="E234" s="128"/>
      <c r="F234" s="183"/>
      <c r="G234" s="130"/>
      <c r="H234" s="131"/>
      <c r="I234" s="132"/>
      <c r="J234" s="189"/>
      <c r="K234" s="133"/>
      <c r="L234" s="134"/>
      <c r="M234" s="334"/>
      <c r="N234" s="343"/>
      <c r="O234" s="192"/>
      <c r="P234" s="191"/>
      <c r="Q234" s="192"/>
      <c r="R234" s="191"/>
      <c r="S234" s="295"/>
      <c r="T234" s="301"/>
      <c r="U234" s="306"/>
      <c r="V234" s="308"/>
      <c r="W234" s="249"/>
      <c r="X234" s="344"/>
      <c r="Y234" s="337"/>
      <c r="Z234" s="33"/>
      <c r="AA234" s="83"/>
      <c r="AB234" s="33"/>
      <c r="AC234" s="83"/>
      <c r="AD234" s="33"/>
      <c r="AE234" s="83"/>
      <c r="AF234" s="33"/>
      <c r="AG234" s="244"/>
      <c r="AH234" s="83"/>
      <c r="AI234" s="246"/>
      <c r="AJ234" s="102"/>
      <c r="AK234" s="92"/>
      <c r="AL234" s="91"/>
      <c r="AM234" s="92"/>
      <c r="AN234" s="351"/>
      <c r="AO234" s="197">
        <f t="shared" si="15"/>
        <v>0</v>
      </c>
      <c r="AP234" s="91"/>
      <c r="AQ234" s="217"/>
      <c r="AR234" s="196"/>
      <c r="AS234" s="265"/>
      <c r="AT234" s="94"/>
      <c r="AU234" s="84"/>
      <c r="AV234" s="136"/>
      <c r="AW234" s="81"/>
      <c r="AX234" s="137"/>
      <c r="AY234" s="138"/>
      <c r="AZ234" s="220">
        <f t="shared" si="12"/>
        <v>0</v>
      </c>
      <c r="BA234" s="220">
        <f t="shared" si="13"/>
        <v>0</v>
      </c>
    </row>
    <row r="235" spans="1:53" ht="50.1" customHeight="1" x14ac:dyDescent="0.25">
      <c r="A235" s="17">
        <f t="shared" si="14"/>
        <v>221</v>
      </c>
      <c r="B235" s="228"/>
      <c r="C235" s="221"/>
      <c r="D235" s="88"/>
      <c r="E235" s="100"/>
      <c r="F235" s="95"/>
      <c r="G235" s="114"/>
      <c r="H235" s="96"/>
      <c r="I235" s="97"/>
      <c r="J235" s="98"/>
      <c r="K235" s="101"/>
      <c r="L235" s="124"/>
      <c r="M235" s="333"/>
      <c r="N235" s="341"/>
      <c r="O235" s="190"/>
      <c r="P235" s="191"/>
      <c r="Q235" s="190"/>
      <c r="R235" s="191"/>
      <c r="S235" s="294"/>
      <c r="T235" s="300"/>
      <c r="U235" s="306"/>
      <c r="V235" s="308"/>
      <c r="W235" s="248"/>
      <c r="X235" s="342"/>
      <c r="Y235" s="337"/>
      <c r="Z235" s="123"/>
      <c r="AA235" s="83"/>
      <c r="AB235" s="123"/>
      <c r="AC235" s="83"/>
      <c r="AD235" s="123"/>
      <c r="AE235" s="83"/>
      <c r="AF235" s="123"/>
      <c r="AG235" s="243"/>
      <c r="AH235" s="33"/>
      <c r="AI235" s="245"/>
      <c r="AJ235" s="125"/>
      <c r="AK235" s="92"/>
      <c r="AL235" s="126"/>
      <c r="AM235" s="91"/>
      <c r="AN235" s="91"/>
      <c r="AO235" s="197">
        <f t="shared" si="15"/>
        <v>0</v>
      </c>
      <c r="AP235" s="126"/>
      <c r="AQ235" s="217"/>
      <c r="AR235" s="201"/>
      <c r="AS235" s="266"/>
      <c r="AT235" s="94"/>
      <c r="AU235" s="84"/>
      <c r="AV235" s="80"/>
      <c r="AW235" s="81"/>
      <c r="AX235" s="77"/>
      <c r="AY235" s="107"/>
      <c r="AZ235" s="220">
        <f t="shared" si="12"/>
        <v>0</v>
      </c>
      <c r="BA235" s="220">
        <f t="shared" si="13"/>
        <v>0</v>
      </c>
    </row>
    <row r="236" spans="1:53" ht="50.1" customHeight="1" x14ac:dyDescent="0.25">
      <c r="A236" s="17">
        <f t="shared" si="14"/>
        <v>222</v>
      </c>
      <c r="B236" s="229"/>
      <c r="C236" s="222"/>
      <c r="D236" s="112"/>
      <c r="E236" s="128"/>
      <c r="F236" s="183"/>
      <c r="G236" s="130"/>
      <c r="H236" s="131"/>
      <c r="I236" s="132"/>
      <c r="J236" s="189"/>
      <c r="K236" s="133"/>
      <c r="L236" s="134"/>
      <c r="M236" s="334"/>
      <c r="N236" s="343"/>
      <c r="O236" s="192"/>
      <c r="P236" s="191"/>
      <c r="Q236" s="192"/>
      <c r="R236" s="191"/>
      <c r="S236" s="295"/>
      <c r="T236" s="301"/>
      <c r="U236" s="306"/>
      <c r="V236" s="308"/>
      <c r="W236" s="249"/>
      <c r="X236" s="344"/>
      <c r="Y236" s="337"/>
      <c r="Z236" s="33"/>
      <c r="AA236" s="83"/>
      <c r="AB236" s="33"/>
      <c r="AC236" s="83"/>
      <c r="AD236" s="33"/>
      <c r="AE236" s="83"/>
      <c r="AF236" s="33"/>
      <c r="AG236" s="244"/>
      <c r="AH236" s="83"/>
      <c r="AI236" s="246"/>
      <c r="AJ236" s="102"/>
      <c r="AK236" s="92"/>
      <c r="AL236" s="91"/>
      <c r="AM236" s="92"/>
      <c r="AN236" s="351"/>
      <c r="AO236" s="197">
        <f t="shared" si="15"/>
        <v>0</v>
      </c>
      <c r="AP236" s="91"/>
      <c r="AQ236" s="217"/>
      <c r="AR236" s="196"/>
      <c r="AS236" s="265"/>
      <c r="AT236" s="94"/>
      <c r="AU236" s="84"/>
      <c r="AV236" s="136"/>
      <c r="AW236" s="81"/>
      <c r="AX236" s="137"/>
      <c r="AY236" s="138"/>
      <c r="AZ236" s="220">
        <f t="shared" si="12"/>
        <v>0</v>
      </c>
      <c r="BA236" s="220">
        <f t="shared" si="13"/>
        <v>0</v>
      </c>
    </row>
    <row r="237" spans="1:53" ht="50.1" customHeight="1" x14ac:dyDescent="0.25">
      <c r="A237" s="17">
        <f t="shared" si="14"/>
        <v>223</v>
      </c>
      <c r="B237" s="228"/>
      <c r="C237" s="221"/>
      <c r="D237" s="88"/>
      <c r="E237" s="100"/>
      <c r="F237" s="95"/>
      <c r="G237" s="114"/>
      <c r="H237" s="96"/>
      <c r="I237" s="97"/>
      <c r="J237" s="98"/>
      <c r="K237" s="101"/>
      <c r="L237" s="124"/>
      <c r="M237" s="333"/>
      <c r="N237" s="341"/>
      <c r="O237" s="190"/>
      <c r="P237" s="191"/>
      <c r="Q237" s="190"/>
      <c r="R237" s="191"/>
      <c r="S237" s="294"/>
      <c r="T237" s="300"/>
      <c r="U237" s="306"/>
      <c r="V237" s="308"/>
      <c r="W237" s="248"/>
      <c r="X237" s="342"/>
      <c r="Y237" s="337"/>
      <c r="Z237" s="123"/>
      <c r="AA237" s="83"/>
      <c r="AB237" s="123"/>
      <c r="AC237" s="83"/>
      <c r="AD237" s="123"/>
      <c r="AE237" s="83"/>
      <c r="AF237" s="123"/>
      <c r="AG237" s="243"/>
      <c r="AH237" s="33"/>
      <c r="AI237" s="245"/>
      <c r="AJ237" s="125"/>
      <c r="AK237" s="92"/>
      <c r="AL237" s="126"/>
      <c r="AM237" s="91"/>
      <c r="AN237" s="91"/>
      <c r="AO237" s="197">
        <f t="shared" si="15"/>
        <v>0</v>
      </c>
      <c r="AP237" s="126"/>
      <c r="AQ237" s="217"/>
      <c r="AR237" s="201"/>
      <c r="AS237" s="266"/>
      <c r="AT237" s="94"/>
      <c r="AU237" s="84"/>
      <c r="AV237" s="80"/>
      <c r="AW237" s="81"/>
      <c r="AX237" s="77"/>
      <c r="AY237" s="107"/>
      <c r="AZ237" s="220">
        <f t="shared" si="12"/>
        <v>0</v>
      </c>
      <c r="BA237" s="220">
        <f t="shared" si="13"/>
        <v>0</v>
      </c>
    </row>
    <row r="238" spans="1:53" ht="50.1" customHeight="1" x14ac:dyDescent="0.25">
      <c r="A238" s="17">
        <f t="shared" si="14"/>
        <v>224</v>
      </c>
      <c r="B238" s="229"/>
      <c r="C238" s="222"/>
      <c r="D238" s="112"/>
      <c r="E238" s="128"/>
      <c r="F238" s="183"/>
      <c r="G238" s="130"/>
      <c r="H238" s="131"/>
      <c r="I238" s="132"/>
      <c r="J238" s="189"/>
      <c r="K238" s="133"/>
      <c r="L238" s="134"/>
      <c r="M238" s="334"/>
      <c r="N238" s="343"/>
      <c r="O238" s="193"/>
      <c r="P238" s="191"/>
      <c r="Q238" s="193"/>
      <c r="R238" s="191"/>
      <c r="S238" s="296"/>
      <c r="T238" s="302"/>
      <c r="U238" s="306"/>
      <c r="V238" s="308"/>
      <c r="W238" s="249"/>
      <c r="X238" s="344"/>
      <c r="Y238" s="337"/>
      <c r="Z238" s="33"/>
      <c r="AA238" s="83"/>
      <c r="AB238" s="33"/>
      <c r="AC238" s="83"/>
      <c r="AD238" s="33"/>
      <c r="AE238" s="83"/>
      <c r="AF238" s="33"/>
      <c r="AG238" s="244"/>
      <c r="AH238" s="83"/>
      <c r="AI238" s="246"/>
      <c r="AJ238" s="102"/>
      <c r="AK238" s="92"/>
      <c r="AL238" s="91"/>
      <c r="AM238" s="92"/>
      <c r="AN238" s="351"/>
      <c r="AO238" s="197">
        <f t="shared" si="15"/>
        <v>0</v>
      </c>
      <c r="AP238" s="91"/>
      <c r="AQ238" s="217"/>
      <c r="AR238" s="196"/>
      <c r="AS238" s="265"/>
      <c r="AT238" s="94"/>
      <c r="AU238" s="84"/>
      <c r="AV238" s="136"/>
      <c r="AW238" s="81"/>
      <c r="AX238" s="137"/>
      <c r="AY238" s="138"/>
      <c r="AZ238" s="220">
        <f t="shared" si="12"/>
        <v>0</v>
      </c>
      <c r="BA238" s="220">
        <f t="shared" si="13"/>
        <v>0</v>
      </c>
    </row>
    <row r="239" spans="1:53" ht="50.1" customHeight="1" x14ac:dyDescent="0.25">
      <c r="A239" s="17">
        <f t="shared" si="14"/>
        <v>225</v>
      </c>
      <c r="B239" s="228"/>
      <c r="C239" s="221"/>
      <c r="D239" s="88"/>
      <c r="E239" s="100"/>
      <c r="F239" s="95"/>
      <c r="G239" s="114"/>
      <c r="H239" s="96"/>
      <c r="I239" s="97"/>
      <c r="J239" s="98"/>
      <c r="K239" s="101"/>
      <c r="L239" s="124"/>
      <c r="M239" s="333"/>
      <c r="N239" s="341"/>
      <c r="O239" s="190"/>
      <c r="P239" s="191"/>
      <c r="Q239" s="190"/>
      <c r="R239" s="191"/>
      <c r="S239" s="294"/>
      <c r="T239" s="300"/>
      <c r="U239" s="306"/>
      <c r="V239" s="308"/>
      <c r="W239" s="248"/>
      <c r="X239" s="342"/>
      <c r="Y239" s="337"/>
      <c r="Z239" s="123"/>
      <c r="AA239" s="83"/>
      <c r="AB239" s="123"/>
      <c r="AC239" s="83"/>
      <c r="AD239" s="123"/>
      <c r="AE239" s="83"/>
      <c r="AF239" s="123"/>
      <c r="AG239" s="243"/>
      <c r="AH239" s="33"/>
      <c r="AI239" s="245"/>
      <c r="AJ239" s="125"/>
      <c r="AK239" s="92"/>
      <c r="AL239" s="126"/>
      <c r="AM239" s="91"/>
      <c r="AN239" s="91"/>
      <c r="AO239" s="197">
        <f t="shared" si="15"/>
        <v>0</v>
      </c>
      <c r="AP239" s="126"/>
      <c r="AQ239" s="217"/>
      <c r="AR239" s="201"/>
      <c r="AS239" s="266"/>
      <c r="AT239" s="94"/>
      <c r="AU239" s="84"/>
      <c r="AV239" s="80"/>
      <c r="AW239" s="81"/>
      <c r="AX239" s="77"/>
      <c r="AY239" s="107"/>
      <c r="AZ239" s="220">
        <f t="shared" si="12"/>
        <v>0</v>
      </c>
      <c r="BA239" s="220">
        <f t="shared" si="13"/>
        <v>0</v>
      </c>
    </row>
    <row r="240" spans="1:53" ht="50.1" customHeight="1" x14ac:dyDescent="0.25">
      <c r="A240" s="17">
        <f t="shared" si="14"/>
        <v>226</v>
      </c>
      <c r="B240" s="229"/>
      <c r="C240" s="222"/>
      <c r="D240" s="112"/>
      <c r="E240" s="128"/>
      <c r="F240" s="183"/>
      <c r="G240" s="130"/>
      <c r="H240" s="131"/>
      <c r="I240" s="132"/>
      <c r="J240" s="189"/>
      <c r="K240" s="133"/>
      <c r="L240" s="134"/>
      <c r="M240" s="334"/>
      <c r="N240" s="343"/>
      <c r="O240" s="192"/>
      <c r="P240" s="191"/>
      <c r="Q240" s="192"/>
      <c r="R240" s="191"/>
      <c r="S240" s="295"/>
      <c r="T240" s="301"/>
      <c r="U240" s="306"/>
      <c r="V240" s="308"/>
      <c r="W240" s="249"/>
      <c r="X240" s="344"/>
      <c r="Y240" s="337"/>
      <c r="Z240" s="33"/>
      <c r="AA240" s="83"/>
      <c r="AB240" s="33"/>
      <c r="AC240" s="83"/>
      <c r="AD240" s="33"/>
      <c r="AE240" s="83"/>
      <c r="AF240" s="33"/>
      <c r="AG240" s="244"/>
      <c r="AH240" s="83"/>
      <c r="AI240" s="246"/>
      <c r="AJ240" s="102"/>
      <c r="AK240" s="92"/>
      <c r="AL240" s="91"/>
      <c r="AM240" s="92"/>
      <c r="AN240" s="351"/>
      <c r="AO240" s="197">
        <f t="shared" si="15"/>
        <v>0</v>
      </c>
      <c r="AP240" s="91"/>
      <c r="AQ240" s="217"/>
      <c r="AR240" s="196"/>
      <c r="AS240" s="265"/>
      <c r="AT240" s="94"/>
      <c r="AU240" s="84"/>
      <c r="AV240" s="136"/>
      <c r="AW240" s="81"/>
      <c r="AX240" s="137"/>
      <c r="AY240" s="138"/>
      <c r="AZ240" s="220">
        <f t="shared" si="12"/>
        <v>0</v>
      </c>
      <c r="BA240" s="220">
        <f t="shared" si="13"/>
        <v>0</v>
      </c>
    </row>
    <row r="241" spans="1:53" ht="50.1" customHeight="1" x14ac:dyDescent="0.25">
      <c r="A241" s="17">
        <f t="shared" si="14"/>
        <v>227</v>
      </c>
      <c r="B241" s="228"/>
      <c r="C241" s="221"/>
      <c r="D241" s="88"/>
      <c r="E241" s="100"/>
      <c r="F241" s="95"/>
      <c r="G241" s="114"/>
      <c r="H241" s="96"/>
      <c r="I241" s="97"/>
      <c r="J241" s="98"/>
      <c r="K241" s="101"/>
      <c r="L241" s="124"/>
      <c r="M241" s="333"/>
      <c r="N241" s="341"/>
      <c r="O241" s="190"/>
      <c r="P241" s="191"/>
      <c r="Q241" s="190"/>
      <c r="R241" s="191"/>
      <c r="S241" s="294"/>
      <c r="T241" s="300"/>
      <c r="U241" s="306"/>
      <c r="V241" s="308"/>
      <c r="W241" s="248"/>
      <c r="X241" s="342"/>
      <c r="Y241" s="337"/>
      <c r="Z241" s="123"/>
      <c r="AA241" s="83"/>
      <c r="AB241" s="123"/>
      <c r="AC241" s="83"/>
      <c r="AD241" s="123"/>
      <c r="AE241" s="83"/>
      <c r="AF241" s="123"/>
      <c r="AG241" s="243"/>
      <c r="AH241" s="33"/>
      <c r="AI241" s="245"/>
      <c r="AJ241" s="125"/>
      <c r="AK241" s="92"/>
      <c r="AL241" s="126"/>
      <c r="AM241" s="91"/>
      <c r="AN241" s="91"/>
      <c r="AO241" s="197">
        <f t="shared" si="15"/>
        <v>0</v>
      </c>
      <c r="AP241" s="126"/>
      <c r="AQ241" s="217"/>
      <c r="AR241" s="201"/>
      <c r="AS241" s="266"/>
      <c r="AT241" s="94"/>
      <c r="AU241" s="84"/>
      <c r="AV241" s="80"/>
      <c r="AW241" s="81"/>
      <c r="AX241" s="77"/>
      <c r="AY241" s="107"/>
      <c r="AZ241" s="220">
        <f t="shared" si="12"/>
        <v>0</v>
      </c>
      <c r="BA241" s="220">
        <f t="shared" si="13"/>
        <v>0</v>
      </c>
    </row>
    <row r="242" spans="1:53" ht="50.1" customHeight="1" x14ac:dyDescent="0.25">
      <c r="A242" s="17">
        <f t="shared" si="14"/>
        <v>228</v>
      </c>
      <c r="B242" s="229"/>
      <c r="C242" s="222"/>
      <c r="D242" s="112"/>
      <c r="E242" s="128"/>
      <c r="F242" s="183"/>
      <c r="G242" s="130"/>
      <c r="H242" s="131"/>
      <c r="I242" s="132"/>
      <c r="J242" s="189"/>
      <c r="K242" s="133"/>
      <c r="L242" s="134"/>
      <c r="M242" s="334"/>
      <c r="N242" s="343"/>
      <c r="O242" s="192"/>
      <c r="P242" s="191"/>
      <c r="Q242" s="192"/>
      <c r="R242" s="191"/>
      <c r="S242" s="295"/>
      <c r="T242" s="301"/>
      <c r="U242" s="306"/>
      <c r="V242" s="308"/>
      <c r="W242" s="249"/>
      <c r="X242" s="344"/>
      <c r="Y242" s="337"/>
      <c r="Z242" s="33"/>
      <c r="AA242" s="83"/>
      <c r="AB242" s="33"/>
      <c r="AC242" s="83"/>
      <c r="AD242" s="33"/>
      <c r="AE242" s="83"/>
      <c r="AF242" s="33"/>
      <c r="AG242" s="244"/>
      <c r="AH242" s="83"/>
      <c r="AI242" s="246"/>
      <c r="AJ242" s="102"/>
      <c r="AK242" s="92"/>
      <c r="AL242" s="91"/>
      <c r="AM242" s="92"/>
      <c r="AN242" s="351"/>
      <c r="AO242" s="197">
        <f t="shared" si="15"/>
        <v>0</v>
      </c>
      <c r="AP242" s="91"/>
      <c r="AQ242" s="217"/>
      <c r="AR242" s="196"/>
      <c r="AS242" s="265"/>
      <c r="AT242" s="94"/>
      <c r="AU242" s="84"/>
      <c r="AV242" s="136"/>
      <c r="AW242" s="81"/>
      <c r="AX242" s="137"/>
      <c r="AY242" s="138"/>
      <c r="AZ242" s="220">
        <f t="shared" si="12"/>
        <v>0</v>
      </c>
      <c r="BA242" s="220">
        <f t="shared" si="13"/>
        <v>0</v>
      </c>
    </row>
    <row r="243" spans="1:53" ht="50.1" customHeight="1" x14ac:dyDescent="0.25">
      <c r="A243" s="17">
        <f t="shared" si="14"/>
        <v>229</v>
      </c>
      <c r="B243" s="228"/>
      <c r="C243" s="221"/>
      <c r="D243" s="88"/>
      <c r="E243" s="100"/>
      <c r="F243" s="95"/>
      <c r="G243" s="114"/>
      <c r="H243" s="96"/>
      <c r="I243" s="97"/>
      <c r="J243" s="98"/>
      <c r="K243" s="101"/>
      <c r="L243" s="124"/>
      <c r="M243" s="333"/>
      <c r="N243" s="341"/>
      <c r="O243" s="190"/>
      <c r="P243" s="191"/>
      <c r="Q243" s="190"/>
      <c r="R243" s="191"/>
      <c r="S243" s="294"/>
      <c r="T243" s="300"/>
      <c r="U243" s="306"/>
      <c r="V243" s="308"/>
      <c r="W243" s="248"/>
      <c r="X243" s="342"/>
      <c r="Y243" s="337"/>
      <c r="Z243" s="123"/>
      <c r="AA243" s="83"/>
      <c r="AB243" s="123"/>
      <c r="AC243" s="83"/>
      <c r="AD243" s="123"/>
      <c r="AE243" s="83"/>
      <c r="AF243" s="123"/>
      <c r="AG243" s="243"/>
      <c r="AH243" s="33"/>
      <c r="AI243" s="245"/>
      <c r="AJ243" s="198"/>
      <c r="AK243" s="92"/>
      <c r="AL243" s="126"/>
      <c r="AM243" s="91"/>
      <c r="AN243" s="91"/>
      <c r="AO243" s="197">
        <f t="shared" si="15"/>
        <v>0</v>
      </c>
      <c r="AP243" s="126"/>
      <c r="AQ243" s="217"/>
      <c r="AR243" s="201"/>
      <c r="AS243" s="266"/>
      <c r="AT243" s="94"/>
      <c r="AU243" s="84"/>
      <c r="AV243" s="80"/>
      <c r="AW243" s="81"/>
      <c r="AX243" s="77"/>
      <c r="AY243" s="107"/>
      <c r="AZ243" s="220">
        <f t="shared" si="12"/>
        <v>0</v>
      </c>
      <c r="BA243" s="220">
        <f t="shared" si="13"/>
        <v>0</v>
      </c>
    </row>
    <row r="244" spans="1:53" ht="50.1" customHeight="1" x14ac:dyDescent="0.25">
      <c r="A244" s="17">
        <f t="shared" si="14"/>
        <v>230</v>
      </c>
      <c r="B244" s="229"/>
      <c r="C244" s="222"/>
      <c r="D244" s="112"/>
      <c r="E244" s="128"/>
      <c r="F244" s="183"/>
      <c r="G244" s="130"/>
      <c r="H244" s="131"/>
      <c r="I244" s="132"/>
      <c r="J244" s="189"/>
      <c r="K244" s="133"/>
      <c r="L244" s="134"/>
      <c r="M244" s="334"/>
      <c r="N244" s="343"/>
      <c r="O244" s="192"/>
      <c r="P244" s="191"/>
      <c r="Q244" s="192"/>
      <c r="R244" s="191"/>
      <c r="S244" s="295"/>
      <c r="T244" s="301"/>
      <c r="U244" s="306"/>
      <c r="V244" s="308"/>
      <c r="W244" s="249"/>
      <c r="X244" s="344"/>
      <c r="Y244" s="337"/>
      <c r="Z244" s="33"/>
      <c r="AA244" s="83"/>
      <c r="AB244" s="33"/>
      <c r="AC244" s="83"/>
      <c r="AD244" s="33"/>
      <c r="AE244" s="83"/>
      <c r="AF244" s="33"/>
      <c r="AG244" s="244"/>
      <c r="AH244" s="83"/>
      <c r="AI244" s="246"/>
      <c r="AJ244" s="195"/>
      <c r="AK244" s="92"/>
      <c r="AL244" s="91"/>
      <c r="AM244" s="92"/>
      <c r="AN244" s="351"/>
      <c r="AO244" s="197">
        <f t="shared" si="15"/>
        <v>0</v>
      </c>
      <c r="AP244" s="91"/>
      <c r="AQ244" s="217"/>
      <c r="AR244" s="196"/>
      <c r="AS244" s="265"/>
      <c r="AT244" s="94"/>
      <c r="AU244" s="84"/>
      <c r="AV244" s="136"/>
      <c r="AW244" s="81"/>
      <c r="AX244" s="137"/>
      <c r="AY244" s="138"/>
      <c r="AZ244" s="220">
        <f t="shared" si="12"/>
        <v>0</v>
      </c>
      <c r="BA244" s="220">
        <f t="shared" si="13"/>
        <v>0</v>
      </c>
    </row>
    <row r="245" spans="1:53" ht="50.1" customHeight="1" x14ac:dyDescent="0.25">
      <c r="A245" s="17">
        <f t="shared" si="14"/>
        <v>231</v>
      </c>
      <c r="B245" s="228"/>
      <c r="C245" s="221"/>
      <c r="D245" s="88"/>
      <c r="E245" s="100"/>
      <c r="F245" s="95"/>
      <c r="G245" s="114"/>
      <c r="H245" s="96"/>
      <c r="I245" s="97"/>
      <c r="J245" s="98"/>
      <c r="K245" s="101"/>
      <c r="L245" s="124"/>
      <c r="M245" s="333"/>
      <c r="N245" s="341"/>
      <c r="O245" s="190"/>
      <c r="P245" s="191"/>
      <c r="Q245" s="190"/>
      <c r="R245" s="191"/>
      <c r="S245" s="294"/>
      <c r="T245" s="300"/>
      <c r="U245" s="306"/>
      <c r="V245" s="308"/>
      <c r="W245" s="248"/>
      <c r="X245" s="342"/>
      <c r="Y245" s="337"/>
      <c r="Z245" s="123"/>
      <c r="AA245" s="83"/>
      <c r="AB245" s="123"/>
      <c r="AC245" s="83"/>
      <c r="AD245" s="123"/>
      <c r="AE245" s="83"/>
      <c r="AF245" s="123"/>
      <c r="AG245" s="243"/>
      <c r="AH245" s="33"/>
      <c r="AI245" s="245"/>
      <c r="AJ245" s="125"/>
      <c r="AK245" s="92"/>
      <c r="AL245" s="126"/>
      <c r="AM245" s="91"/>
      <c r="AN245" s="91"/>
      <c r="AO245" s="197">
        <f t="shared" si="15"/>
        <v>0</v>
      </c>
      <c r="AP245" s="126"/>
      <c r="AQ245" s="217"/>
      <c r="AR245" s="201"/>
      <c r="AS245" s="266"/>
      <c r="AT245" s="94"/>
      <c r="AU245" s="84"/>
      <c r="AV245" s="80"/>
      <c r="AW245" s="81"/>
      <c r="AX245" s="77"/>
      <c r="AY245" s="107"/>
      <c r="AZ245" s="220">
        <f t="shared" si="12"/>
        <v>0</v>
      </c>
      <c r="BA245" s="220">
        <f t="shared" si="13"/>
        <v>0</v>
      </c>
    </row>
    <row r="246" spans="1:53" ht="50.1" customHeight="1" x14ac:dyDescent="0.25">
      <c r="A246" s="17">
        <f t="shared" si="14"/>
        <v>232</v>
      </c>
      <c r="B246" s="229"/>
      <c r="C246" s="222"/>
      <c r="D246" s="112"/>
      <c r="E246" s="128"/>
      <c r="F246" s="183"/>
      <c r="G246" s="130"/>
      <c r="H246" s="131"/>
      <c r="I246" s="132"/>
      <c r="J246" s="189"/>
      <c r="K246" s="133"/>
      <c r="L246" s="134"/>
      <c r="M246" s="334"/>
      <c r="N246" s="343"/>
      <c r="O246" s="192"/>
      <c r="P246" s="191"/>
      <c r="Q246" s="192"/>
      <c r="R246" s="191"/>
      <c r="S246" s="295"/>
      <c r="T246" s="301"/>
      <c r="U246" s="306"/>
      <c r="V246" s="308"/>
      <c r="W246" s="249"/>
      <c r="X246" s="344"/>
      <c r="Y246" s="337"/>
      <c r="Z246" s="33"/>
      <c r="AA246" s="83"/>
      <c r="AB246" s="33"/>
      <c r="AC246" s="83"/>
      <c r="AD246" s="33"/>
      <c r="AE246" s="83"/>
      <c r="AF246" s="33"/>
      <c r="AG246" s="244"/>
      <c r="AH246" s="83"/>
      <c r="AI246" s="246"/>
      <c r="AJ246" s="102"/>
      <c r="AK246" s="92"/>
      <c r="AL246" s="91"/>
      <c r="AM246" s="92"/>
      <c r="AN246" s="351"/>
      <c r="AO246" s="197">
        <f t="shared" si="15"/>
        <v>0</v>
      </c>
      <c r="AP246" s="91"/>
      <c r="AQ246" s="217"/>
      <c r="AR246" s="196"/>
      <c r="AS246" s="265"/>
      <c r="AT246" s="94"/>
      <c r="AU246" s="84"/>
      <c r="AV246" s="136"/>
      <c r="AW246" s="81"/>
      <c r="AX246" s="137"/>
      <c r="AY246" s="138"/>
      <c r="AZ246" s="220">
        <f t="shared" si="12"/>
        <v>0</v>
      </c>
      <c r="BA246" s="220">
        <f t="shared" si="13"/>
        <v>0</v>
      </c>
    </row>
    <row r="247" spans="1:53" ht="50.1" customHeight="1" x14ac:dyDescent="0.25">
      <c r="A247" s="17">
        <f t="shared" si="14"/>
        <v>233</v>
      </c>
      <c r="B247" s="228"/>
      <c r="C247" s="221"/>
      <c r="D247" s="88"/>
      <c r="E247" s="100"/>
      <c r="F247" s="95"/>
      <c r="G247" s="114"/>
      <c r="H247" s="96"/>
      <c r="I247" s="97"/>
      <c r="J247" s="98"/>
      <c r="K247" s="101"/>
      <c r="L247" s="124"/>
      <c r="M247" s="333"/>
      <c r="N247" s="341"/>
      <c r="O247" s="190"/>
      <c r="P247" s="191"/>
      <c r="Q247" s="190"/>
      <c r="R247" s="191"/>
      <c r="S247" s="294"/>
      <c r="T247" s="300"/>
      <c r="U247" s="306"/>
      <c r="V247" s="308"/>
      <c r="W247" s="248"/>
      <c r="X247" s="342"/>
      <c r="Y247" s="337"/>
      <c r="Z247" s="123"/>
      <c r="AA247" s="83"/>
      <c r="AB247" s="123"/>
      <c r="AC247" s="83"/>
      <c r="AD247" s="123"/>
      <c r="AE247" s="83"/>
      <c r="AF247" s="123"/>
      <c r="AG247" s="243"/>
      <c r="AH247" s="33"/>
      <c r="AI247" s="245"/>
      <c r="AJ247" s="125"/>
      <c r="AK247" s="92"/>
      <c r="AL247" s="126"/>
      <c r="AM247" s="91"/>
      <c r="AN247" s="91"/>
      <c r="AO247" s="197">
        <f t="shared" si="15"/>
        <v>0</v>
      </c>
      <c r="AP247" s="126"/>
      <c r="AQ247" s="217"/>
      <c r="AR247" s="201"/>
      <c r="AS247" s="266"/>
      <c r="AT247" s="94"/>
      <c r="AU247" s="84"/>
      <c r="AV247" s="80"/>
      <c r="AW247" s="81"/>
      <c r="AX247" s="77"/>
      <c r="AY247" s="107"/>
      <c r="AZ247" s="220">
        <f t="shared" si="12"/>
        <v>0</v>
      </c>
      <c r="BA247" s="220">
        <f t="shared" si="13"/>
        <v>0</v>
      </c>
    </row>
    <row r="248" spans="1:53" ht="50.1" customHeight="1" x14ac:dyDescent="0.25">
      <c r="A248" s="17">
        <f t="shared" si="14"/>
        <v>234</v>
      </c>
      <c r="B248" s="229"/>
      <c r="C248" s="222"/>
      <c r="D248" s="112"/>
      <c r="E248" s="128"/>
      <c r="F248" s="183"/>
      <c r="G248" s="130"/>
      <c r="H248" s="131"/>
      <c r="I248" s="132"/>
      <c r="J248" s="189"/>
      <c r="K248" s="133"/>
      <c r="L248" s="134"/>
      <c r="M248" s="334"/>
      <c r="N248" s="343"/>
      <c r="O248" s="192"/>
      <c r="P248" s="191"/>
      <c r="Q248" s="192"/>
      <c r="R248" s="191"/>
      <c r="S248" s="295"/>
      <c r="T248" s="301"/>
      <c r="U248" s="306"/>
      <c r="V248" s="308"/>
      <c r="W248" s="249"/>
      <c r="X248" s="344"/>
      <c r="Y248" s="337"/>
      <c r="Z248" s="33"/>
      <c r="AA248" s="83"/>
      <c r="AB248" s="33"/>
      <c r="AC248" s="83"/>
      <c r="AD248" s="33"/>
      <c r="AE248" s="83"/>
      <c r="AF248" s="33"/>
      <c r="AG248" s="244"/>
      <c r="AH248" s="83"/>
      <c r="AI248" s="246"/>
      <c r="AJ248" s="102"/>
      <c r="AK248" s="92"/>
      <c r="AL248" s="91"/>
      <c r="AM248" s="92"/>
      <c r="AN248" s="351"/>
      <c r="AO248" s="197">
        <f t="shared" si="15"/>
        <v>0</v>
      </c>
      <c r="AP248" s="91"/>
      <c r="AQ248" s="217"/>
      <c r="AR248" s="196"/>
      <c r="AS248" s="265"/>
      <c r="AT248" s="94"/>
      <c r="AU248" s="84"/>
      <c r="AV248" s="136"/>
      <c r="AW248" s="81"/>
      <c r="AX248" s="137"/>
      <c r="AY248" s="138"/>
      <c r="AZ248" s="220">
        <f t="shared" si="12"/>
        <v>0</v>
      </c>
      <c r="BA248" s="220">
        <f t="shared" si="13"/>
        <v>0</v>
      </c>
    </row>
    <row r="249" spans="1:53" ht="50.1" customHeight="1" x14ac:dyDescent="0.25">
      <c r="A249" s="17">
        <f t="shared" si="14"/>
        <v>235</v>
      </c>
      <c r="B249" s="228"/>
      <c r="C249" s="221"/>
      <c r="D249" s="88"/>
      <c r="E249" s="100"/>
      <c r="F249" s="95"/>
      <c r="G249" s="114"/>
      <c r="H249" s="96"/>
      <c r="I249" s="97"/>
      <c r="J249" s="98"/>
      <c r="K249" s="101"/>
      <c r="L249" s="124"/>
      <c r="M249" s="333"/>
      <c r="N249" s="341"/>
      <c r="O249" s="190"/>
      <c r="P249" s="191"/>
      <c r="Q249" s="190"/>
      <c r="R249" s="191"/>
      <c r="S249" s="294"/>
      <c r="T249" s="300"/>
      <c r="U249" s="306"/>
      <c r="V249" s="308"/>
      <c r="W249" s="248"/>
      <c r="X249" s="345"/>
      <c r="Y249" s="337"/>
      <c r="Z249" s="123"/>
      <c r="AA249" s="83"/>
      <c r="AB249" s="123"/>
      <c r="AC249" s="83"/>
      <c r="AD249" s="123"/>
      <c r="AE249" s="83"/>
      <c r="AF249" s="123"/>
      <c r="AG249" s="243"/>
      <c r="AH249" s="123"/>
      <c r="AI249" s="245"/>
      <c r="AJ249" s="125"/>
      <c r="AK249" s="92"/>
      <c r="AL249" s="126"/>
      <c r="AM249" s="91"/>
      <c r="AN249" s="91"/>
      <c r="AO249" s="197">
        <f t="shared" si="15"/>
        <v>0</v>
      </c>
      <c r="AP249" s="126"/>
      <c r="AQ249" s="217"/>
      <c r="AR249" s="201"/>
      <c r="AS249" s="266"/>
      <c r="AT249" s="94"/>
      <c r="AU249" s="84"/>
      <c r="AV249" s="80"/>
      <c r="AW249" s="81"/>
      <c r="AX249" s="77"/>
      <c r="AY249" s="107"/>
      <c r="AZ249" s="220">
        <f t="shared" si="12"/>
        <v>0</v>
      </c>
      <c r="BA249" s="220">
        <f t="shared" si="13"/>
        <v>0</v>
      </c>
    </row>
    <row r="250" spans="1:53" ht="50.1" customHeight="1" x14ac:dyDescent="0.25">
      <c r="A250" s="17">
        <f t="shared" si="14"/>
        <v>236</v>
      </c>
      <c r="B250" s="229"/>
      <c r="C250" s="222"/>
      <c r="D250" s="112"/>
      <c r="E250" s="128"/>
      <c r="F250" s="183"/>
      <c r="G250" s="130"/>
      <c r="H250" s="131"/>
      <c r="I250" s="132"/>
      <c r="J250" s="189"/>
      <c r="K250" s="133"/>
      <c r="L250" s="134"/>
      <c r="M250" s="334"/>
      <c r="N250" s="343"/>
      <c r="O250" s="192"/>
      <c r="P250" s="191"/>
      <c r="Q250" s="192"/>
      <c r="R250" s="191"/>
      <c r="S250" s="295"/>
      <c r="T250" s="301"/>
      <c r="U250" s="306"/>
      <c r="V250" s="308"/>
      <c r="W250" s="249"/>
      <c r="X250" s="344"/>
      <c r="Y250" s="337"/>
      <c r="Z250" s="33"/>
      <c r="AA250" s="83"/>
      <c r="AB250" s="33"/>
      <c r="AC250" s="83"/>
      <c r="AD250" s="33"/>
      <c r="AE250" s="83"/>
      <c r="AF250" s="33"/>
      <c r="AG250" s="244"/>
      <c r="AH250" s="83"/>
      <c r="AI250" s="246"/>
      <c r="AJ250" s="102"/>
      <c r="AK250" s="92"/>
      <c r="AL250" s="91"/>
      <c r="AM250" s="92"/>
      <c r="AN250" s="351"/>
      <c r="AO250" s="197">
        <f t="shared" si="15"/>
        <v>0</v>
      </c>
      <c r="AP250" s="91"/>
      <c r="AQ250" s="217"/>
      <c r="AR250" s="196"/>
      <c r="AS250" s="265"/>
      <c r="AT250" s="94"/>
      <c r="AU250" s="84"/>
      <c r="AV250" s="136"/>
      <c r="AW250" s="81"/>
      <c r="AX250" s="137"/>
      <c r="AY250" s="138"/>
      <c r="AZ250" s="220">
        <f t="shared" si="12"/>
        <v>0</v>
      </c>
      <c r="BA250" s="220">
        <f t="shared" si="13"/>
        <v>0</v>
      </c>
    </row>
    <row r="251" spans="1:53" ht="50.1" customHeight="1" x14ac:dyDescent="0.25">
      <c r="A251" s="17">
        <f t="shared" si="14"/>
        <v>237</v>
      </c>
      <c r="B251" s="228"/>
      <c r="C251" s="221"/>
      <c r="D251" s="88"/>
      <c r="E251" s="100"/>
      <c r="F251" s="95"/>
      <c r="G251" s="114"/>
      <c r="H251" s="96"/>
      <c r="I251" s="97"/>
      <c r="J251" s="98"/>
      <c r="K251" s="101"/>
      <c r="L251" s="124"/>
      <c r="M251" s="333"/>
      <c r="N251" s="341"/>
      <c r="O251" s="190"/>
      <c r="P251" s="191"/>
      <c r="Q251" s="190"/>
      <c r="R251" s="191"/>
      <c r="S251" s="294"/>
      <c r="T251" s="300"/>
      <c r="U251" s="306"/>
      <c r="V251" s="308"/>
      <c r="W251" s="248"/>
      <c r="X251" s="342"/>
      <c r="Y251" s="337"/>
      <c r="Z251" s="123"/>
      <c r="AA251" s="83"/>
      <c r="AB251" s="123"/>
      <c r="AC251" s="83"/>
      <c r="AD251" s="123"/>
      <c r="AE251" s="83"/>
      <c r="AF251" s="123"/>
      <c r="AG251" s="243"/>
      <c r="AH251" s="33"/>
      <c r="AI251" s="245"/>
      <c r="AJ251" s="125"/>
      <c r="AK251" s="92"/>
      <c r="AL251" s="126"/>
      <c r="AM251" s="91"/>
      <c r="AN251" s="91"/>
      <c r="AO251" s="197">
        <f t="shared" si="15"/>
        <v>0</v>
      </c>
      <c r="AP251" s="126"/>
      <c r="AQ251" s="217"/>
      <c r="AR251" s="201"/>
      <c r="AS251" s="266"/>
      <c r="AT251" s="94"/>
      <c r="AU251" s="84"/>
      <c r="AV251" s="80"/>
      <c r="AW251" s="81"/>
      <c r="AX251" s="77"/>
      <c r="AY251" s="107"/>
      <c r="AZ251" s="220">
        <f t="shared" si="12"/>
        <v>0</v>
      </c>
      <c r="BA251" s="220">
        <f t="shared" si="13"/>
        <v>0</v>
      </c>
    </row>
    <row r="252" spans="1:53" ht="50.1" customHeight="1" x14ac:dyDescent="0.25">
      <c r="A252" s="17">
        <f t="shared" si="14"/>
        <v>238</v>
      </c>
      <c r="B252" s="229"/>
      <c r="C252" s="222"/>
      <c r="D252" s="112"/>
      <c r="E252" s="128"/>
      <c r="F252" s="183"/>
      <c r="G252" s="130"/>
      <c r="H252" s="131"/>
      <c r="I252" s="132"/>
      <c r="J252" s="189"/>
      <c r="K252" s="133"/>
      <c r="L252" s="134"/>
      <c r="M252" s="334"/>
      <c r="N252" s="343"/>
      <c r="O252" s="192"/>
      <c r="P252" s="191"/>
      <c r="Q252" s="192"/>
      <c r="R252" s="191"/>
      <c r="S252" s="295"/>
      <c r="T252" s="301"/>
      <c r="U252" s="306"/>
      <c r="V252" s="308"/>
      <c r="W252" s="249"/>
      <c r="X252" s="344"/>
      <c r="Y252" s="337"/>
      <c r="Z252" s="33"/>
      <c r="AA252" s="83"/>
      <c r="AB252" s="33"/>
      <c r="AC252" s="83"/>
      <c r="AD252" s="33"/>
      <c r="AE252" s="83"/>
      <c r="AF252" s="33"/>
      <c r="AG252" s="244"/>
      <c r="AH252" s="83"/>
      <c r="AI252" s="246"/>
      <c r="AJ252" s="102"/>
      <c r="AK252" s="92"/>
      <c r="AL252" s="91"/>
      <c r="AM252" s="92"/>
      <c r="AN252" s="351"/>
      <c r="AO252" s="197">
        <f t="shared" si="15"/>
        <v>0</v>
      </c>
      <c r="AP252" s="91"/>
      <c r="AQ252" s="217"/>
      <c r="AR252" s="196"/>
      <c r="AS252" s="265"/>
      <c r="AT252" s="94"/>
      <c r="AU252" s="84"/>
      <c r="AV252" s="136"/>
      <c r="AW252" s="81"/>
      <c r="AX252" s="137"/>
      <c r="AY252" s="138"/>
      <c r="AZ252" s="220">
        <f t="shared" si="12"/>
        <v>0</v>
      </c>
      <c r="BA252" s="220">
        <f t="shared" si="13"/>
        <v>0</v>
      </c>
    </row>
    <row r="253" spans="1:53" ht="50.1" customHeight="1" x14ac:dyDescent="0.25">
      <c r="A253" s="17">
        <f t="shared" si="14"/>
        <v>239</v>
      </c>
      <c r="B253" s="228"/>
      <c r="C253" s="221"/>
      <c r="D253" s="88"/>
      <c r="E253" s="100"/>
      <c r="F253" s="95"/>
      <c r="G253" s="114"/>
      <c r="H253" s="96"/>
      <c r="I253" s="97"/>
      <c r="J253" s="98"/>
      <c r="K253" s="101"/>
      <c r="L253" s="124"/>
      <c r="M253" s="333"/>
      <c r="N253" s="341"/>
      <c r="O253" s="190"/>
      <c r="P253" s="191"/>
      <c r="Q253" s="190"/>
      <c r="R253" s="191"/>
      <c r="S253" s="294"/>
      <c r="T253" s="300"/>
      <c r="U253" s="306"/>
      <c r="V253" s="308"/>
      <c r="W253" s="248"/>
      <c r="X253" s="342"/>
      <c r="Y253" s="337"/>
      <c r="Z253" s="123"/>
      <c r="AA253" s="83"/>
      <c r="AB253" s="123"/>
      <c r="AC253" s="83"/>
      <c r="AD253" s="123"/>
      <c r="AE253" s="83"/>
      <c r="AF253" s="123"/>
      <c r="AG253" s="243"/>
      <c r="AH253" s="33"/>
      <c r="AI253" s="245"/>
      <c r="AJ253" s="125"/>
      <c r="AK253" s="92"/>
      <c r="AL253" s="126"/>
      <c r="AM253" s="91"/>
      <c r="AN253" s="91"/>
      <c r="AO253" s="197">
        <f t="shared" si="15"/>
        <v>0</v>
      </c>
      <c r="AP253" s="126"/>
      <c r="AQ253" s="217"/>
      <c r="AR253" s="201"/>
      <c r="AS253" s="266"/>
      <c r="AT253" s="94"/>
      <c r="AU253" s="84"/>
      <c r="AV253" s="80"/>
      <c r="AW253" s="81"/>
      <c r="AX253" s="77"/>
      <c r="AY253" s="107"/>
      <c r="AZ253" s="220">
        <f t="shared" si="12"/>
        <v>0</v>
      </c>
      <c r="BA253" s="220">
        <f t="shared" si="13"/>
        <v>0</v>
      </c>
    </row>
    <row r="254" spans="1:53" ht="50.1" customHeight="1" x14ac:dyDescent="0.25">
      <c r="A254" s="17">
        <f t="shared" si="14"/>
        <v>240</v>
      </c>
      <c r="B254" s="229"/>
      <c r="C254" s="222"/>
      <c r="D254" s="112"/>
      <c r="E254" s="128"/>
      <c r="F254" s="183"/>
      <c r="G254" s="130"/>
      <c r="H254" s="131"/>
      <c r="I254" s="132"/>
      <c r="J254" s="189"/>
      <c r="K254" s="133"/>
      <c r="L254" s="134"/>
      <c r="M254" s="334"/>
      <c r="N254" s="343"/>
      <c r="O254" s="192"/>
      <c r="P254" s="191"/>
      <c r="Q254" s="192"/>
      <c r="R254" s="191"/>
      <c r="S254" s="295"/>
      <c r="T254" s="301"/>
      <c r="U254" s="306"/>
      <c r="V254" s="308"/>
      <c r="W254" s="249"/>
      <c r="X254" s="344"/>
      <c r="Y254" s="337"/>
      <c r="Z254" s="33"/>
      <c r="AA254" s="83"/>
      <c r="AB254" s="33"/>
      <c r="AC254" s="83"/>
      <c r="AD254" s="33"/>
      <c r="AE254" s="83"/>
      <c r="AF254" s="33"/>
      <c r="AG254" s="244"/>
      <c r="AH254" s="83"/>
      <c r="AI254" s="246"/>
      <c r="AJ254" s="102"/>
      <c r="AK254" s="92"/>
      <c r="AL254" s="91"/>
      <c r="AM254" s="92"/>
      <c r="AN254" s="351"/>
      <c r="AO254" s="197">
        <f t="shared" si="15"/>
        <v>0</v>
      </c>
      <c r="AP254" s="91"/>
      <c r="AQ254" s="217"/>
      <c r="AR254" s="196"/>
      <c r="AS254" s="265"/>
      <c r="AT254" s="94"/>
      <c r="AU254" s="84"/>
      <c r="AV254" s="136"/>
      <c r="AW254" s="81"/>
      <c r="AX254" s="137"/>
      <c r="AY254" s="138"/>
      <c r="AZ254" s="220">
        <f t="shared" si="12"/>
        <v>0</v>
      </c>
      <c r="BA254" s="220">
        <f t="shared" si="13"/>
        <v>0</v>
      </c>
    </row>
    <row r="255" spans="1:53" ht="50.1" customHeight="1" x14ac:dyDescent="0.25">
      <c r="A255" s="17">
        <f t="shared" si="14"/>
        <v>241</v>
      </c>
      <c r="B255" s="228"/>
      <c r="C255" s="221"/>
      <c r="D255" s="88"/>
      <c r="E255" s="100"/>
      <c r="F255" s="95"/>
      <c r="G255" s="114"/>
      <c r="H255" s="96"/>
      <c r="I255" s="97"/>
      <c r="J255" s="98"/>
      <c r="K255" s="101"/>
      <c r="L255" s="124"/>
      <c r="M255" s="333"/>
      <c r="N255" s="341"/>
      <c r="O255" s="190"/>
      <c r="P255" s="191"/>
      <c r="Q255" s="190"/>
      <c r="R255" s="191"/>
      <c r="S255" s="294"/>
      <c r="T255" s="300"/>
      <c r="U255" s="306"/>
      <c r="V255" s="308"/>
      <c r="W255" s="248"/>
      <c r="X255" s="342"/>
      <c r="Y255" s="337"/>
      <c r="Z255" s="123"/>
      <c r="AA255" s="83"/>
      <c r="AB255" s="123"/>
      <c r="AC255" s="83"/>
      <c r="AD255" s="123"/>
      <c r="AE255" s="83"/>
      <c r="AF255" s="123"/>
      <c r="AG255" s="243"/>
      <c r="AH255" s="33"/>
      <c r="AI255" s="245"/>
      <c r="AJ255" s="125"/>
      <c r="AK255" s="92"/>
      <c r="AL255" s="126"/>
      <c r="AM255" s="91"/>
      <c r="AN255" s="91"/>
      <c r="AO255" s="197">
        <f t="shared" si="15"/>
        <v>0</v>
      </c>
      <c r="AP255" s="126"/>
      <c r="AQ255" s="217"/>
      <c r="AR255" s="201"/>
      <c r="AS255" s="266"/>
      <c r="AT255" s="94"/>
      <c r="AU255" s="84"/>
      <c r="AV255" s="80"/>
      <c r="AW255" s="81"/>
      <c r="AX255" s="77"/>
      <c r="AY255" s="107"/>
      <c r="AZ255" s="220">
        <f t="shared" si="12"/>
        <v>0</v>
      </c>
      <c r="BA255" s="220">
        <f t="shared" si="13"/>
        <v>0</v>
      </c>
    </row>
    <row r="256" spans="1:53" ht="50.1" customHeight="1" x14ac:dyDescent="0.25">
      <c r="A256" s="17">
        <f t="shared" si="14"/>
        <v>242</v>
      </c>
      <c r="B256" s="229"/>
      <c r="C256" s="222"/>
      <c r="D256" s="112"/>
      <c r="E256" s="128"/>
      <c r="F256" s="183"/>
      <c r="G256" s="130"/>
      <c r="H256" s="131"/>
      <c r="I256" s="132"/>
      <c r="J256" s="189"/>
      <c r="K256" s="133"/>
      <c r="L256" s="134"/>
      <c r="M256" s="334"/>
      <c r="N256" s="343"/>
      <c r="O256" s="192"/>
      <c r="P256" s="191"/>
      <c r="Q256" s="192"/>
      <c r="R256" s="191"/>
      <c r="S256" s="295"/>
      <c r="T256" s="301"/>
      <c r="U256" s="306"/>
      <c r="V256" s="308"/>
      <c r="W256" s="249"/>
      <c r="X256" s="344"/>
      <c r="Y256" s="337"/>
      <c r="Z256" s="33"/>
      <c r="AA256" s="83"/>
      <c r="AB256" s="33"/>
      <c r="AC256" s="83"/>
      <c r="AD256" s="33"/>
      <c r="AE256" s="83"/>
      <c r="AF256" s="33"/>
      <c r="AG256" s="244"/>
      <c r="AH256" s="83"/>
      <c r="AI256" s="246"/>
      <c r="AJ256" s="102"/>
      <c r="AK256" s="92"/>
      <c r="AL256" s="91"/>
      <c r="AM256" s="92"/>
      <c r="AN256" s="351"/>
      <c r="AO256" s="197">
        <f t="shared" si="15"/>
        <v>0</v>
      </c>
      <c r="AP256" s="91"/>
      <c r="AQ256" s="217"/>
      <c r="AR256" s="196"/>
      <c r="AS256" s="265"/>
      <c r="AT256" s="94"/>
      <c r="AU256" s="84"/>
      <c r="AV256" s="136"/>
      <c r="AW256" s="81"/>
      <c r="AX256" s="137"/>
      <c r="AY256" s="138"/>
      <c r="AZ256" s="220">
        <f t="shared" si="12"/>
        <v>0</v>
      </c>
      <c r="BA256" s="220">
        <f t="shared" si="13"/>
        <v>0</v>
      </c>
    </row>
    <row r="257" spans="1:53" ht="50.1" customHeight="1" x14ac:dyDescent="0.25">
      <c r="A257" s="17">
        <f t="shared" si="14"/>
        <v>243</v>
      </c>
      <c r="B257" s="228"/>
      <c r="C257" s="221"/>
      <c r="D257" s="88"/>
      <c r="E257" s="100"/>
      <c r="F257" s="95"/>
      <c r="G257" s="114"/>
      <c r="H257" s="96"/>
      <c r="I257" s="97"/>
      <c r="J257" s="98"/>
      <c r="K257" s="101"/>
      <c r="L257" s="124"/>
      <c r="M257" s="333"/>
      <c r="N257" s="341"/>
      <c r="O257" s="190"/>
      <c r="P257" s="191"/>
      <c r="Q257" s="190"/>
      <c r="R257" s="191"/>
      <c r="S257" s="294"/>
      <c r="T257" s="300"/>
      <c r="U257" s="306"/>
      <c r="V257" s="308"/>
      <c r="W257" s="248"/>
      <c r="X257" s="342"/>
      <c r="Y257" s="337"/>
      <c r="Z257" s="123"/>
      <c r="AA257" s="83"/>
      <c r="AB257" s="123"/>
      <c r="AC257" s="83"/>
      <c r="AD257" s="123"/>
      <c r="AE257" s="83"/>
      <c r="AF257" s="123"/>
      <c r="AG257" s="243"/>
      <c r="AH257" s="33"/>
      <c r="AI257" s="245"/>
      <c r="AJ257" s="125"/>
      <c r="AK257" s="92"/>
      <c r="AL257" s="126"/>
      <c r="AM257" s="91"/>
      <c r="AN257" s="91"/>
      <c r="AO257" s="197">
        <f t="shared" si="15"/>
        <v>0</v>
      </c>
      <c r="AP257" s="126"/>
      <c r="AQ257" s="217"/>
      <c r="AR257" s="201"/>
      <c r="AS257" s="266"/>
      <c r="AT257" s="94"/>
      <c r="AU257" s="84"/>
      <c r="AV257" s="80"/>
      <c r="AW257" s="81"/>
      <c r="AX257" s="77"/>
      <c r="AY257" s="107"/>
      <c r="AZ257" s="220">
        <f t="shared" si="12"/>
        <v>0</v>
      </c>
      <c r="BA257" s="220">
        <f t="shared" si="13"/>
        <v>0</v>
      </c>
    </row>
    <row r="258" spans="1:53" ht="50.1" customHeight="1" x14ac:dyDescent="0.25">
      <c r="A258" s="17">
        <f t="shared" si="14"/>
        <v>244</v>
      </c>
      <c r="B258" s="229"/>
      <c r="C258" s="222"/>
      <c r="D258" s="112"/>
      <c r="E258" s="128"/>
      <c r="F258" s="183"/>
      <c r="G258" s="130"/>
      <c r="H258" s="131"/>
      <c r="I258" s="132"/>
      <c r="J258" s="189"/>
      <c r="K258" s="133"/>
      <c r="L258" s="134"/>
      <c r="M258" s="334"/>
      <c r="N258" s="343"/>
      <c r="O258" s="192"/>
      <c r="P258" s="191"/>
      <c r="Q258" s="192"/>
      <c r="R258" s="191"/>
      <c r="S258" s="295"/>
      <c r="T258" s="301"/>
      <c r="U258" s="306"/>
      <c r="V258" s="308"/>
      <c r="W258" s="249"/>
      <c r="X258" s="344"/>
      <c r="Y258" s="337"/>
      <c r="Z258" s="33"/>
      <c r="AA258" s="83"/>
      <c r="AB258" s="33"/>
      <c r="AC258" s="83"/>
      <c r="AD258" s="33"/>
      <c r="AE258" s="83"/>
      <c r="AF258" s="33"/>
      <c r="AG258" s="244"/>
      <c r="AH258" s="83"/>
      <c r="AI258" s="246"/>
      <c r="AJ258" s="102"/>
      <c r="AK258" s="92"/>
      <c r="AL258" s="91"/>
      <c r="AM258" s="92"/>
      <c r="AN258" s="351"/>
      <c r="AO258" s="197">
        <f t="shared" si="15"/>
        <v>0</v>
      </c>
      <c r="AP258" s="91"/>
      <c r="AQ258" s="217"/>
      <c r="AR258" s="196"/>
      <c r="AS258" s="265"/>
      <c r="AT258" s="94"/>
      <c r="AU258" s="84"/>
      <c r="AV258" s="136"/>
      <c r="AW258" s="81"/>
      <c r="AX258" s="137"/>
      <c r="AY258" s="138"/>
      <c r="AZ258" s="220">
        <f t="shared" si="12"/>
        <v>0</v>
      </c>
      <c r="BA258" s="220">
        <f t="shared" si="13"/>
        <v>0</v>
      </c>
    </row>
    <row r="259" spans="1:53" ht="50.1" customHeight="1" x14ac:dyDescent="0.25">
      <c r="A259" s="17">
        <f t="shared" si="14"/>
        <v>245</v>
      </c>
      <c r="B259" s="228"/>
      <c r="C259" s="221"/>
      <c r="D259" s="88"/>
      <c r="E259" s="100"/>
      <c r="F259" s="95"/>
      <c r="G259" s="114"/>
      <c r="H259" s="96"/>
      <c r="I259" s="97"/>
      <c r="J259" s="98"/>
      <c r="K259" s="101"/>
      <c r="L259" s="124"/>
      <c r="M259" s="333"/>
      <c r="N259" s="341"/>
      <c r="O259" s="190"/>
      <c r="P259" s="191"/>
      <c r="Q259" s="190"/>
      <c r="R259" s="191"/>
      <c r="S259" s="294"/>
      <c r="T259" s="300"/>
      <c r="U259" s="306"/>
      <c r="V259" s="308"/>
      <c r="W259" s="248"/>
      <c r="X259" s="342"/>
      <c r="Y259" s="337"/>
      <c r="Z259" s="123"/>
      <c r="AA259" s="83"/>
      <c r="AB259" s="123"/>
      <c r="AC259" s="83"/>
      <c r="AD259" s="123"/>
      <c r="AE259" s="83"/>
      <c r="AF259" s="123"/>
      <c r="AG259" s="243"/>
      <c r="AH259" s="33"/>
      <c r="AI259" s="245"/>
      <c r="AJ259" s="125"/>
      <c r="AK259" s="92"/>
      <c r="AL259" s="126"/>
      <c r="AM259" s="91"/>
      <c r="AN259" s="91"/>
      <c r="AO259" s="197">
        <f t="shared" si="15"/>
        <v>0</v>
      </c>
      <c r="AP259" s="126"/>
      <c r="AQ259" s="217"/>
      <c r="AR259" s="201"/>
      <c r="AS259" s="266"/>
      <c r="AT259" s="94"/>
      <c r="AU259" s="84"/>
      <c r="AV259" s="80"/>
      <c r="AW259" s="81"/>
      <c r="AX259" s="77"/>
      <c r="AY259" s="107"/>
      <c r="AZ259" s="220">
        <f t="shared" si="12"/>
        <v>0</v>
      </c>
      <c r="BA259" s="220">
        <f t="shared" si="13"/>
        <v>0</v>
      </c>
    </row>
    <row r="260" spans="1:53" ht="50.1" customHeight="1" x14ac:dyDescent="0.25">
      <c r="A260" s="17">
        <f t="shared" si="14"/>
        <v>246</v>
      </c>
      <c r="B260" s="229"/>
      <c r="C260" s="222"/>
      <c r="D260" s="112"/>
      <c r="E260" s="128"/>
      <c r="F260" s="183"/>
      <c r="G260" s="130"/>
      <c r="H260" s="131"/>
      <c r="I260" s="132"/>
      <c r="J260" s="189"/>
      <c r="K260" s="133"/>
      <c r="L260" s="134"/>
      <c r="M260" s="334"/>
      <c r="N260" s="343"/>
      <c r="O260" s="192"/>
      <c r="P260" s="191"/>
      <c r="Q260" s="192"/>
      <c r="R260" s="191"/>
      <c r="S260" s="295"/>
      <c r="T260" s="301"/>
      <c r="U260" s="306"/>
      <c r="V260" s="308"/>
      <c r="W260" s="249"/>
      <c r="X260" s="344"/>
      <c r="Y260" s="337"/>
      <c r="Z260" s="33"/>
      <c r="AA260" s="83"/>
      <c r="AB260" s="33"/>
      <c r="AC260" s="83"/>
      <c r="AD260" s="33"/>
      <c r="AE260" s="83"/>
      <c r="AF260" s="33"/>
      <c r="AG260" s="244"/>
      <c r="AH260" s="83"/>
      <c r="AI260" s="246"/>
      <c r="AJ260" s="195"/>
      <c r="AK260" s="92"/>
      <c r="AL260" s="91"/>
      <c r="AM260" s="92"/>
      <c r="AN260" s="351"/>
      <c r="AO260" s="197">
        <f t="shared" si="15"/>
        <v>0</v>
      </c>
      <c r="AP260" s="91"/>
      <c r="AQ260" s="217"/>
      <c r="AR260" s="196"/>
      <c r="AS260" s="265"/>
      <c r="AT260" s="94"/>
      <c r="AU260" s="84"/>
      <c r="AV260" s="136"/>
      <c r="AW260" s="81"/>
      <c r="AX260" s="137"/>
      <c r="AY260" s="138"/>
      <c r="AZ260" s="220">
        <f t="shared" si="12"/>
        <v>0</v>
      </c>
      <c r="BA260" s="220">
        <f t="shared" si="13"/>
        <v>0</v>
      </c>
    </row>
    <row r="261" spans="1:53" ht="50.1" customHeight="1" x14ac:dyDescent="0.25">
      <c r="A261" s="17">
        <f t="shared" si="14"/>
        <v>247</v>
      </c>
      <c r="B261" s="228"/>
      <c r="C261" s="221"/>
      <c r="D261" s="88"/>
      <c r="E261" s="100"/>
      <c r="F261" s="95"/>
      <c r="G261" s="114"/>
      <c r="H261" s="96"/>
      <c r="I261" s="97"/>
      <c r="J261" s="98"/>
      <c r="K261" s="101"/>
      <c r="L261" s="124"/>
      <c r="M261" s="333"/>
      <c r="N261" s="341"/>
      <c r="O261" s="190"/>
      <c r="P261" s="191"/>
      <c r="Q261" s="190"/>
      <c r="R261" s="191"/>
      <c r="S261" s="294"/>
      <c r="T261" s="300"/>
      <c r="U261" s="306"/>
      <c r="V261" s="308"/>
      <c r="W261" s="248"/>
      <c r="X261" s="342"/>
      <c r="Y261" s="337"/>
      <c r="Z261" s="123"/>
      <c r="AA261" s="83"/>
      <c r="AB261" s="123"/>
      <c r="AC261" s="83"/>
      <c r="AD261" s="123"/>
      <c r="AE261" s="83"/>
      <c r="AF261" s="123"/>
      <c r="AG261" s="243"/>
      <c r="AH261" s="33"/>
      <c r="AI261" s="245"/>
      <c r="AJ261" s="125"/>
      <c r="AK261" s="92"/>
      <c r="AL261" s="126"/>
      <c r="AM261" s="91"/>
      <c r="AN261" s="91"/>
      <c r="AO261" s="197">
        <f t="shared" si="15"/>
        <v>0</v>
      </c>
      <c r="AP261" s="126"/>
      <c r="AQ261" s="217"/>
      <c r="AR261" s="201"/>
      <c r="AS261" s="266"/>
      <c r="AT261" s="94"/>
      <c r="AU261" s="84"/>
      <c r="AV261" s="80"/>
      <c r="AW261" s="81"/>
      <c r="AX261" s="77"/>
      <c r="AY261" s="107"/>
      <c r="AZ261" s="220">
        <f t="shared" si="12"/>
        <v>0</v>
      </c>
      <c r="BA261" s="220">
        <f t="shared" si="13"/>
        <v>0</v>
      </c>
    </row>
    <row r="262" spans="1:53" ht="50.1" customHeight="1" x14ac:dyDescent="0.25">
      <c r="A262" s="17">
        <f t="shared" si="14"/>
        <v>248</v>
      </c>
      <c r="B262" s="229"/>
      <c r="C262" s="222"/>
      <c r="D262" s="112"/>
      <c r="E262" s="128"/>
      <c r="F262" s="183"/>
      <c r="G262" s="130"/>
      <c r="H262" s="131"/>
      <c r="I262" s="132"/>
      <c r="J262" s="189"/>
      <c r="K262" s="133"/>
      <c r="L262" s="134"/>
      <c r="M262" s="334"/>
      <c r="N262" s="343"/>
      <c r="O262" s="192"/>
      <c r="P262" s="191"/>
      <c r="Q262" s="192"/>
      <c r="R262" s="191"/>
      <c r="S262" s="295"/>
      <c r="T262" s="301"/>
      <c r="U262" s="306"/>
      <c r="V262" s="308"/>
      <c r="W262" s="249"/>
      <c r="X262" s="344"/>
      <c r="Y262" s="337"/>
      <c r="Z262" s="33"/>
      <c r="AA262" s="83"/>
      <c r="AB262" s="33"/>
      <c r="AC262" s="83"/>
      <c r="AD262" s="33"/>
      <c r="AE262" s="83"/>
      <c r="AF262" s="33"/>
      <c r="AG262" s="244"/>
      <c r="AH262" s="83"/>
      <c r="AI262" s="246"/>
      <c r="AJ262" s="195"/>
      <c r="AK262" s="92"/>
      <c r="AL262" s="91"/>
      <c r="AM262" s="92"/>
      <c r="AN262" s="351"/>
      <c r="AO262" s="197">
        <f t="shared" si="15"/>
        <v>0</v>
      </c>
      <c r="AP262" s="91"/>
      <c r="AQ262" s="217"/>
      <c r="AR262" s="196"/>
      <c r="AS262" s="265"/>
      <c r="AT262" s="94"/>
      <c r="AU262" s="84"/>
      <c r="AV262" s="136"/>
      <c r="AW262" s="81"/>
      <c r="AX262" s="137"/>
      <c r="AY262" s="138"/>
      <c r="AZ262" s="220">
        <f t="shared" si="12"/>
        <v>0</v>
      </c>
      <c r="BA262" s="220">
        <f t="shared" si="13"/>
        <v>0</v>
      </c>
    </row>
    <row r="263" spans="1:53" ht="50.1" customHeight="1" x14ac:dyDescent="0.25">
      <c r="A263" s="17">
        <f t="shared" si="14"/>
        <v>249</v>
      </c>
      <c r="B263" s="228"/>
      <c r="C263" s="221"/>
      <c r="D263" s="88"/>
      <c r="E263" s="100"/>
      <c r="F263" s="95"/>
      <c r="G263" s="114"/>
      <c r="H263" s="96"/>
      <c r="I263" s="97"/>
      <c r="J263" s="98"/>
      <c r="K263" s="101"/>
      <c r="L263" s="124"/>
      <c r="M263" s="333"/>
      <c r="N263" s="341"/>
      <c r="O263" s="190"/>
      <c r="P263" s="191"/>
      <c r="Q263" s="190"/>
      <c r="R263" s="191"/>
      <c r="S263" s="294"/>
      <c r="T263" s="300"/>
      <c r="U263" s="306"/>
      <c r="V263" s="308"/>
      <c r="W263" s="248"/>
      <c r="X263" s="342"/>
      <c r="Y263" s="337"/>
      <c r="Z263" s="123"/>
      <c r="AA263" s="83"/>
      <c r="AB263" s="123"/>
      <c r="AC263" s="83"/>
      <c r="AD263" s="123"/>
      <c r="AE263" s="83"/>
      <c r="AF263" s="123"/>
      <c r="AG263" s="243"/>
      <c r="AH263" s="33"/>
      <c r="AI263" s="245"/>
      <c r="AJ263" s="125"/>
      <c r="AK263" s="92"/>
      <c r="AL263" s="126"/>
      <c r="AM263" s="91"/>
      <c r="AN263" s="91"/>
      <c r="AO263" s="197">
        <f t="shared" si="15"/>
        <v>0</v>
      </c>
      <c r="AP263" s="126"/>
      <c r="AQ263" s="217"/>
      <c r="AR263" s="201"/>
      <c r="AS263" s="266"/>
      <c r="AT263" s="94"/>
      <c r="AU263" s="84"/>
      <c r="AV263" s="80"/>
      <c r="AW263" s="81"/>
      <c r="AX263" s="77"/>
      <c r="AY263" s="107"/>
      <c r="AZ263" s="220">
        <f t="shared" si="12"/>
        <v>0</v>
      </c>
      <c r="BA263" s="220">
        <f t="shared" si="13"/>
        <v>0</v>
      </c>
    </row>
    <row r="264" spans="1:53" ht="50.1" customHeight="1" x14ac:dyDescent="0.25">
      <c r="A264" s="17">
        <f t="shared" si="14"/>
        <v>250</v>
      </c>
      <c r="B264" s="229"/>
      <c r="C264" s="222"/>
      <c r="D264" s="112"/>
      <c r="E264" s="128"/>
      <c r="F264" s="183"/>
      <c r="G264" s="130"/>
      <c r="H264" s="131"/>
      <c r="I264" s="132"/>
      <c r="J264" s="189"/>
      <c r="K264" s="133"/>
      <c r="L264" s="134"/>
      <c r="M264" s="334"/>
      <c r="N264" s="343"/>
      <c r="O264" s="192"/>
      <c r="P264" s="191"/>
      <c r="Q264" s="192"/>
      <c r="R264" s="191"/>
      <c r="S264" s="295"/>
      <c r="T264" s="301"/>
      <c r="U264" s="306"/>
      <c r="V264" s="308"/>
      <c r="W264" s="249"/>
      <c r="X264" s="344"/>
      <c r="Y264" s="337"/>
      <c r="Z264" s="33"/>
      <c r="AA264" s="83"/>
      <c r="AB264" s="33"/>
      <c r="AC264" s="83"/>
      <c r="AD264" s="33"/>
      <c r="AE264" s="83"/>
      <c r="AF264" s="33"/>
      <c r="AG264" s="244"/>
      <c r="AH264" s="83"/>
      <c r="AI264" s="246"/>
      <c r="AJ264" s="102"/>
      <c r="AK264" s="92"/>
      <c r="AL264" s="91"/>
      <c r="AM264" s="92"/>
      <c r="AN264" s="351"/>
      <c r="AO264" s="197">
        <f t="shared" si="15"/>
        <v>0</v>
      </c>
      <c r="AP264" s="91"/>
      <c r="AQ264" s="217"/>
      <c r="AR264" s="196"/>
      <c r="AS264" s="265"/>
      <c r="AT264" s="94"/>
      <c r="AU264" s="84"/>
      <c r="AV264" s="136"/>
      <c r="AW264" s="81"/>
      <c r="AX264" s="137"/>
      <c r="AY264" s="138"/>
      <c r="AZ264" s="220">
        <f t="shared" si="12"/>
        <v>0</v>
      </c>
      <c r="BA264" s="220">
        <f t="shared" si="13"/>
        <v>0</v>
      </c>
    </row>
    <row r="265" spans="1:53" ht="50.1" customHeight="1" x14ac:dyDescent="0.25">
      <c r="A265" s="17">
        <f t="shared" si="14"/>
        <v>251</v>
      </c>
      <c r="B265" s="228"/>
      <c r="C265" s="221"/>
      <c r="D265" s="88"/>
      <c r="E265" s="100"/>
      <c r="F265" s="95"/>
      <c r="G265" s="114"/>
      <c r="H265" s="96"/>
      <c r="I265" s="97"/>
      <c r="J265" s="98"/>
      <c r="K265" s="101"/>
      <c r="L265" s="124"/>
      <c r="M265" s="333"/>
      <c r="N265" s="341"/>
      <c r="O265" s="190"/>
      <c r="P265" s="191"/>
      <c r="Q265" s="190"/>
      <c r="R265" s="191"/>
      <c r="S265" s="294"/>
      <c r="T265" s="300"/>
      <c r="U265" s="306"/>
      <c r="V265" s="308"/>
      <c r="W265" s="248"/>
      <c r="X265" s="342"/>
      <c r="Y265" s="337"/>
      <c r="Z265" s="123"/>
      <c r="AA265" s="83"/>
      <c r="AB265" s="123"/>
      <c r="AC265" s="83"/>
      <c r="AD265" s="123"/>
      <c r="AE265" s="83"/>
      <c r="AF265" s="123"/>
      <c r="AG265" s="243"/>
      <c r="AH265" s="33"/>
      <c r="AI265" s="245"/>
      <c r="AJ265" s="125"/>
      <c r="AK265" s="92"/>
      <c r="AL265" s="126"/>
      <c r="AM265" s="91"/>
      <c r="AN265" s="91"/>
      <c r="AO265" s="197">
        <f t="shared" si="15"/>
        <v>0</v>
      </c>
      <c r="AP265" s="126"/>
      <c r="AQ265" s="217"/>
      <c r="AR265" s="201"/>
      <c r="AS265" s="266"/>
      <c r="AT265" s="94"/>
      <c r="AU265" s="84"/>
      <c r="AV265" s="80"/>
      <c r="AW265" s="81"/>
      <c r="AX265" s="77"/>
      <c r="AY265" s="107"/>
      <c r="AZ265" s="220">
        <f t="shared" si="12"/>
        <v>0</v>
      </c>
      <c r="BA265" s="220">
        <f t="shared" si="13"/>
        <v>0</v>
      </c>
    </row>
    <row r="266" spans="1:53" ht="50.1" customHeight="1" x14ac:dyDescent="0.25">
      <c r="A266" s="17">
        <f t="shared" si="14"/>
        <v>252</v>
      </c>
      <c r="B266" s="229"/>
      <c r="C266" s="222"/>
      <c r="D266" s="112"/>
      <c r="E266" s="128"/>
      <c r="F266" s="183"/>
      <c r="G266" s="130"/>
      <c r="H266" s="131"/>
      <c r="I266" s="132"/>
      <c r="J266" s="189"/>
      <c r="K266" s="133"/>
      <c r="L266" s="134"/>
      <c r="M266" s="334"/>
      <c r="N266" s="343"/>
      <c r="O266" s="192"/>
      <c r="P266" s="191"/>
      <c r="Q266" s="192"/>
      <c r="R266" s="191"/>
      <c r="S266" s="295"/>
      <c r="T266" s="301"/>
      <c r="U266" s="306"/>
      <c r="V266" s="308"/>
      <c r="W266" s="249"/>
      <c r="X266" s="344"/>
      <c r="Y266" s="337"/>
      <c r="Z266" s="33"/>
      <c r="AA266" s="83"/>
      <c r="AB266" s="33"/>
      <c r="AC266" s="83"/>
      <c r="AD266" s="33"/>
      <c r="AE266" s="83"/>
      <c r="AF266" s="33"/>
      <c r="AG266" s="244"/>
      <c r="AH266" s="83"/>
      <c r="AI266" s="246"/>
      <c r="AJ266" s="102"/>
      <c r="AK266" s="92"/>
      <c r="AL266" s="91"/>
      <c r="AM266" s="92"/>
      <c r="AN266" s="351"/>
      <c r="AO266" s="197">
        <f t="shared" si="15"/>
        <v>0</v>
      </c>
      <c r="AP266" s="91"/>
      <c r="AQ266" s="217"/>
      <c r="AR266" s="83"/>
      <c r="AS266" s="267"/>
      <c r="AT266" s="94"/>
      <c r="AU266" s="84"/>
      <c r="AV266" s="136"/>
      <c r="AW266" s="81"/>
      <c r="AX266" s="137"/>
      <c r="AY266" s="138"/>
      <c r="AZ266" s="220">
        <f t="shared" si="12"/>
        <v>0</v>
      </c>
      <c r="BA266" s="220">
        <f t="shared" si="13"/>
        <v>0</v>
      </c>
    </row>
    <row r="267" spans="1:53" ht="50.1" customHeight="1" x14ac:dyDescent="0.25">
      <c r="A267" s="17">
        <f t="shared" si="14"/>
        <v>253</v>
      </c>
      <c r="B267" s="228"/>
      <c r="C267" s="221"/>
      <c r="D267" s="88"/>
      <c r="E267" s="100"/>
      <c r="F267" s="95"/>
      <c r="G267" s="114"/>
      <c r="H267" s="96"/>
      <c r="I267" s="97"/>
      <c r="J267" s="98"/>
      <c r="K267" s="101"/>
      <c r="L267" s="124"/>
      <c r="M267" s="333"/>
      <c r="N267" s="341"/>
      <c r="O267" s="190"/>
      <c r="P267" s="191"/>
      <c r="Q267" s="190"/>
      <c r="R267" s="191"/>
      <c r="S267" s="294"/>
      <c r="T267" s="300"/>
      <c r="U267" s="306"/>
      <c r="V267" s="308"/>
      <c r="W267" s="248"/>
      <c r="X267" s="342"/>
      <c r="Y267" s="337"/>
      <c r="Z267" s="123"/>
      <c r="AA267" s="83"/>
      <c r="AB267" s="123"/>
      <c r="AC267" s="83"/>
      <c r="AD267" s="123"/>
      <c r="AE267" s="83"/>
      <c r="AF267" s="123"/>
      <c r="AG267" s="243"/>
      <c r="AH267" s="33"/>
      <c r="AI267" s="245"/>
      <c r="AJ267" s="125"/>
      <c r="AK267" s="92"/>
      <c r="AL267" s="126"/>
      <c r="AM267" s="91"/>
      <c r="AN267" s="91"/>
      <c r="AO267" s="197">
        <f t="shared" si="15"/>
        <v>0</v>
      </c>
      <c r="AP267" s="126"/>
      <c r="AQ267" s="217"/>
      <c r="AR267" s="201"/>
      <c r="AS267" s="266"/>
      <c r="AT267" s="94"/>
      <c r="AU267" s="84"/>
      <c r="AV267" s="80"/>
      <c r="AW267" s="81"/>
      <c r="AX267" s="77"/>
      <c r="AY267" s="107"/>
      <c r="AZ267" s="220">
        <f t="shared" si="12"/>
        <v>0</v>
      </c>
      <c r="BA267" s="220">
        <f t="shared" si="13"/>
        <v>0</v>
      </c>
    </row>
    <row r="268" spans="1:53" ht="50.1" customHeight="1" x14ac:dyDescent="0.25">
      <c r="A268" s="17">
        <f t="shared" si="14"/>
        <v>254</v>
      </c>
      <c r="B268" s="229"/>
      <c r="C268" s="222"/>
      <c r="D268" s="112"/>
      <c r="E268" s="128"/>
      <c r="F268" s="183"/>
      <c r="G268" s="130"/>
      <c r="H268" s="131"/>
      <c r="I268" s="132"/>
      <c r="J268" s="189"/>
      <c r="K268" s="133"/>
      <c r="L268" s="134"/>
      <c r="M268" s="334"/>
      <c r="N268" s="343"/>
      <c r="O268" s="192"/>
      <c r="P268" s="191"/>
      <c r="Q268" s="192"/>
      <c r="R268" s="191"/>
      <c r="S268" s="295"/>
      <c r="T268" s="301"/>
      <c r="U268" s="306"/>
      <c r="V268" s="308"/>
      <c r="W268" s="249"/>
      <c r="X268" s="344"/>
      <c r="Y268" s="337"/>
      <c r="Z268" s="33"/>
      <c r="AA268" s="83"/>
      <c r="AB268" s="33"/>
      <c r="AC268" s="83"/>
      <c r="AD268" s="33"/>
      <c r="AE268" s="83"/>
      <c r="AF268" s="33"/>
      <c r="AG268" s="244"/>
      <c r="AH268" s="83"/>
      <c r="AI268" s="246"/>
      <c r="AJ268" s="102"/>
      <c r="AK268" s="92"/>
      <c r="AL268" s="91"/>
      <c r="AM268" s="92"/>
      <c r="AN268" s="351"/>
      <c r="AO268" s="197">
        <f t="shared" si="15"/>
        <v>0</v>
      </c>
      <c r="AP268" s="91"/>
      <c r="AQ268" s="217"/>
      <c r="AR268" s="83"/>
      <c r="AS268" s="267"/>
      <c r="AT268" s="94"/>
      <c r="AU268" s="84"/>
      <c r="AV268" s="136"/>
      <c r="AW268" s="81"/>
      <c r="AX268" s="137"/>
      <c r="AY268" s="138"/>
      <c r="AZ268" s="220">
        <f t="shared" si="12"/>
        <v>0</v>
      </c>
      <c r="BA268" s="220">
        <f t="shared" si="13"/>
        <v>0</v>
      </c>
    </row>
    <row r="269" spans="1:53" ht="50.1" customHeight="1" x14ac:dyDescent="0.25">
      <c r="A269" s="17">
        <f t="shared" si="14"/>
        <v>255</v>
      </c>
      <c r="B269" s="228"/>
      <c r="C269" s="221"/>
      <c r="D269" s="88"/>
      <c r="E269" s="100"/>
      <c r="F269" s="95"/>
      <c r="G269" s="114"/>
      <c r="H269" s="96"/>
      <c r="I269" s="97"/>
      <c r="J269" s="98"/>
      <c r="K269" s="101"/>
      <c r="L269" s="124"/>
      <c r="M269" s="333"/>
      <c r="N269" s="341"/>
      <c r="O269" s="190"/>
      <c r="P269" s="191"/>
      <c r="Q269" s="190"/>
      <c r="R269" s="191"/>
      <c r="S269" s="294"/>
      <c r="T269" s="300"/>
      <c r="U269" s="306"/>
      <c r="V269" s="308"/>
      <c r="W269" s="248"/>
      <c r="X269" s="342"/>
      <c r="Y269" s="337"/>
      <c r="Z269" s="123"/>
      <c r="AA269" s="83"/>
      <c r="AB269" s="123"/>
      <c r="AC269" s="83"/>
      <c r="AD269" s="123"/>
      <c r="AE269" s="83"/>
      <c r="AF269" s="123"/>
      <c r="AG269" s="243"/>
      <c r="AH269" s="33"/>
      <c r="AI269" s="245"/>
      <c r="AJ269" s="125"/>
      <c r="AK269" s="92"/>
      <c r="AL269" s="126"/>
      <c r="AM269" s="91"/>
      <c r="AN269" s="91"/>
      <c r="AO269" s="197">
        <f t="shared" si="15"/>
        <v>0</v>
      </c>
      <c r="AP269" s="126"/>
      <c r="AQ269" s="217"/>
      <c r="AR269" s="123"/>
      <c r="AS269" s="268"/>
      <c r="AT269" s="94"/>
      <c r="AU269" s="84"/>
      <c r="AV269" s="80"/>
      <c r="AW269" s="81"/>
      <c r="AX269" s="77"/>
      <c r="AY269" s="107"/>
      <c r="AZ269" s="220">
        <f t="shared" si="12"/>
        <v>0</v>
      </c>
      <c r="BA269" s="220">
        <f t="shared" si="13"/>
        <v>0</v>
      </c>
    </row>
    <row r="270" spans="1:53" ht="50.1" customHeight="1" x14ac:dyDescent="0.25">
      <c r="A270" s="17">
        <f t="shared" si="14"/>
        <v>256</v>
      </c>
      <c r="B270" s="229"/>
      <c r="C270" s="222"/>
      <c r="D270" s="112"/>
      <c r="E270" s="128"/>
      <c r="F270" s="183"/>
      <c r="G270" s="130"/>
      <c r="H270" s="131"/>
      <c r="I270" s="132"/>
      <c r="J270" s="189"/>
      <c r="K270" s="133"/>
      <c r="L270" s="134"/>
      <c r="M270" s="334"/>
      <c r="N270" s="343"/>
      <c r="O270" s="192"/>
      <c r="P270" s="191"/>
      <c r="Q270" s="192"/>
      <c r="R270" s="191"/>
      <c r="S270" s="295"/>
      <c r="T270" s="301"/>
      <c r="U270" s="306"/>
      <c r="V270" s="308"/>
      <c r="W270" s="249"/>
      <c r="X270" s="344"/>
      <c r="Y270" s="337"/>
      <c r="Z270" s="33"/>
      <c r="AA270" s="83"/>
      <c r="AB270" s="33"/>
      <c r="AC270" s="83"/>
      <c r="AD270" s="33"/>
      <c r="AE270" s="83"/>
      <c r="AF270" s="33"/>
      <c r="AG270" s="244"/>
      <c r="AH270" s="83"/>
      <c r="AI270" s="246"/>
      <c r="AJ270" s="102"/>
      <c r="AK270" s="92"/>
      <c r="AL270" s="91"/>
      <c r="AM270" s="92"/>
      <c r="AN270" s="351"/>
      <c r="AO270" s="197">
        <f t="shared" si="15"/>
        <v>0</v>
      </c>
      <c r="AP270" s="91"/>
      <c r="AQ270" s="217"/>
      <c r="AR270" s="83"/>
      <c r="AS270" s="267"/>
      <c r="AT270" s="94"/>
      <c r="AU270" s="84"/>
      <c r="AV270" s="136"/>
      <c r="AW270" s="81"/>
      <c r="AX270" s="137"/>
      <c r="AY270" s="138"/>
      <c r="AZ270" s="220">
        <f t="shared" si="12"/>
        <v>0</v>
      </c>
      <c r="BA270" s="220">
        <f t="shared" si="13"/>
        <v>0</v>
      </c>
    </row>
    <row r="271" spans="1:53" ht="50.1" customHeight="1" x14ac:dyDescent="0.25">
      <c r="A271" s="17">
        <f t="shared" si="14"/>
        <v>257</v>
      </c>
      <c r="B271" s="228"/>
      <c r="C271" s="221"/>
      <c r="D271" s="88"/>
      <c r="E271" s="100"/>
      <c r="F271" s="95"/>
      <c r="G271" s="114"/>
      <c r="H271" s="96"/>
      <c r="I271" s="97"/>
      <c r="J271" s="98"/>
      <c r="K271" s="101"/>
      <c r="L271" s="124"/>
      <c r="M271" s="333"/>
      <c r="N271" s="341"/>
      <c r="O271" s="190"/>
      <c r="P271" s="191"/>
      <c r="Q271" s="190"/>
      <c r="R271" s="191"/>
      <c r="S271" s="294"/>
      <c r="T271" s="300"/>
      <c r="U271" s="306"/>
      <c r="V271" s="308"/>
      <c r="W271" s="248"/>
      <c r="X271" s="342"/>
      <c r="Y271" s="337"/>
      <c r="Z271" s="123"/>
      <c r="AA271" s="83"/>
      <c r="AB271" s="123"/>
      <c r="AC271" s="83"/>
      <c r="AD271" s="123"/>
      <c r="AE271" s="83"/>
      <c r="AF271" s="123"/>
      <c r="AG271" s="243"/>
      <c r="AH271" s="33"/>
      <c r="AI271" s="245"/>
      <c r="AJ271" s="125"/>
      <c r="AK271" s="92"/>
      <c r="AL271" s="126"/>
      <c r="AM271" s="91"/>
      <c r="AN271" s="91"/>
      <c r="AO271" s="197">
        <f t="shared" si="15"/>
        <v>0</v>
      </c>
      <c r="AP271" s="126"/>
      <c r="AQ271" s="217"/>
      <c r="AR271" s="201"/>
      <c r="AS271" s="266"/>
      <c r="AT271" s="94"/>
      <c r="AU271" s="84"/>
      <c r="AV271" s="80"/>
      <c r="AW271" s="81"/>
      <c r="AX271" s="77"/>
      <c r="AY271" s="107"/>
      <c r="AZ271" s="220">
        <f t="shared" ref="AZ271:AZ334" si="16">M271-B271</f>
        <v>0</v>
      </c>
      <c r="BA271" s="220">
        <f t="shared" ref="BA271:BA334" si="17">AU271-M271</f>
        <v>0</v>
      </c>
    </row>
    <row r="272" spans="1:53" ht="50.1" customHeight="1" x14ac:dyDescent="0.25">
      <c r="A272" s="17">
        <f t="shared" ref="A272:A335" si="18">ROW(A258)</f>
        <v>258</v>
      </c>
      <c r="B272" s="229"/>
      <c r="C272" s="222"/>
      <c r="D272" s="112"/>
      <c r="E272" s="128"/>
      <c r="F272" s="183"/>
      <c r="G272" s="130"/>
      <c r="H272" s="131"/>
      <c r="I272" s="132"/>
      <c r="J272" s="189"/>
      <c r="K272" s="133"/>
      <c r="L272" s="134"/>
      <c r="M272" s="334"/>
      <c r="N272" s="343"/>
      <c r="O272" s="192"/>
      <c r="P272" s="191"/>
      <c r="Q272" s="192"/>
      <c r="R272" s="191"/>
      <c r="S272" s="295"/>
      <c r="T272" s="301"/>
      <c r="U272" s="306"/>
      <c r="V272" s="308"/>
      <c r="W272" s="249"/>
      <c r="X272" s="344"/>
      <c r="Y272" s="337"/>
      <c r="Z272" s="33"/>
      <c r="AA272" s="83"/>
      <c r="AB272" s="33"/>
      <c r="AC272" s="83"/>
      <c r="AD272" s="33"/>
      <c r="AE272" s="83"/>
      <c r="AF272" s="33"/>
      <c r="AG272" s="244"/>
      <c r="AH272" s="83"/>
      <c r="AI272" s="246"/>
      <c r="AJ272" s="102"/>
      <c r="AK272" s="92"/>
      <c r="AL272" s="91"/>
      <c r="AM272" s="92"/>
      <c r="AN272" s="351"/>
      <c r="AO272" s="197">
        <f t="shared" ref="AO272:AO335" si="19">AJ272-AK272-AL272-AM272-AN272</f>
        <v>0</v>
      </c>
      <c r="AP272" s="91"/>
      <c r="AQ272" s="217"/>
      <c r="AR272" s="83"/>
      <c r="AS272" s="267"/>
      <c r="AT272" s="94"/>
      <c r="AU272" s="84"/>
      <c r="AV272" s="136"/>
      <c r="AW272" s="81"/>
      <c r="AX272" s="137"/>
      <c r="AY272" s="138"/>
      <c r="AZ272" s="220">
        <f t="shared" si="16"/>
        <v>0</v>
      </c>
      <c r="BA272" s="220">
        <f t="shared" si="17"/>
        <v>0</v>
      </c>
    </row>
    <row r="273" spans="1:53" ht="50.1" customHeight="1" x14ac:dyDescent="0.25">
      <c r="A273" s="17">
        <f t="shared" si="18"/>
        <v>259</v>
      </c>
      <c r="B273" s="228"/>
      <c r="C273" s="221"/>
      <c r="D273" s="88"/>
      <c r="E273" s="100"/>
      <c r="F273" s="95"/>
      <c r="G273" s="114"/>
      <c r="H273" s="96"/>
      <c r="I273" s="97"/>
      <c r="J273" s="98"/>
      <c r="K273" s="101"/>
      <c r="L273" s="124"/>
      <c r="M273" s="333"/>
      <c r="N273" s="341"/>
      <c r="O273" s="190"/>
      <c r="P273" s="191"/>
      <c r="Q273" s="190"/>
      <c r="R273" s="191"/>
      <c r="S273" s="294"/>
      <c r="T273" s="300"/>
      <c r="U273" s="306"/>
      <c r="V273" s="308"/>
      <c r="W273" s="248"/>
      <c r="X273" s="342"/>
      <c r="Y273" s="337"/>
      <c r="Z273" s="123"/>
      <c r="AA273" s="83"/>
      <c r="AB273" s="123"/>
      <c r="AC273" s="83"/>
      <c r="AD273" s="123"/>
      <c r="AE273" s="83"/>
      <c r="AF273" s="123"/>
      <c r="AG273" s="243"/>
      <c r="AH273" s="33"/>
      <c r="AI273" s="245"/>
      <c r="AJ273" s="125"/>
      <c r="AK273" s="92"/>
      <c r="AL273" s="126"/>
      <c r="AM273" s="91"/>
      <c r="AN273" s="91"/>
      <c r="AO273" s="197">
        <f t="shared" si="19"/>
        <v>0</v>
      </c>
      <c r="AP273" s="126"/>
      <c r="AQ273" s="217"/>
      <c r="AR273" s="123"/>
      <c r="AS273" s="268"/>
      <c r="AT273" s="94"/>
      <c r="AU273" s="84"/>
      <c r="AV273" s="80"/>
      <c r="AW273" s="81"/>
      <c r="AX273" s="77"/>
      <c r="AY273" s="107"/>
      <c r="AZ273" s="220">
        <f t="shared" si="16"/>
        <v>0</v>
      </c>
      <c r="BA273" s="220">
        <f t="shared" si="17"/>
        <v>0</v>
      </c>
    </row>
    <row r="274" spans="1:53" ht="50.1" customHeight="1" x14ac:dyDescent="0.25">
      <c r="A274" s="17">
        <f t="shared" si="18"/>
        <v>260</v>
      </c>
      <c r="B274" s="229"/>
      <c r="C274" s="222"/>
      <c r="D274" s="112"/>
      <c r="E274" s="128"/>
      <c r="F274" s="183"/>
      <c r="G274" s="130"/>
      <c r="H274" s="131"/>
      <c r="I274" s="132"/>
      <c r="J274" s="189"/>
      <c r="K274" s="133"/>
      <c r="L274" s="134"/>
      <c r="M274" s="334"/>
      <c r="N274" s="343"/>
      <c r="O274" s="192"/>
      <c r="P274" s="191"/>
      <c r="Q274" s="192"/>
      <c r="R274" s="191"/>
      <c r="S274" s="295"/>
      <c r="T274" s="301"/>
      <c r="U274" s="306"/>
      <c r="V274" s="308"/>
      <c r="W274" s="249"/>
      <c r="X274" s="344"/>
      <c r="Y274" s="337"/>
      <c r="Z274" s="33"/>
      <c r="AA274" s="83"/>
      <c r="AB274" s="33"/>
      <c r="AC274" s="83"/>
      <c r="AD274" s="33"/>
      <c r="AE274" s="83"/>
      <c r="AF274" s="33"/>
      <c r="AG274" s="244"/>
      <c r="AH274" s="83"/>
      <c r="AI274" s="246"/>
      <c r="AJ274" s="102"/>
      <c r="AK274" s="92"/>
      <c r="AL274" s="91"/>
      <c r="AM274" s="92"/>
      <c r="AN274" s="351"/>
      <c r="AO274" s="197">
        <f t="shared" si="19"/>
        <v>0</v>
      </c>
      <c r="AP274" s="91"/>
      <c r="AQ274" s="217"/>
      <c r="AR274" s="83"/>
      <c r="AS274" s="267"/>
      <c r="AT274" s="94"/>
      <c r="AU274" s="84"/>
      <c r="AV274" s="136"/>
      <c r="AW274" s="81"/>
      <c r="AX274" s="137"/>
      <c r="AY274" s="138"/>
      <c r="AZ274" s="220">
        <f t="shared" si="16"/>
        <v>0</v>
      </c>
      <c r="BA274" s="220">
        <f t="shared" si="17"/>
        <v>0</v>
      </c>
    </row>
    <row r="275" spans="1:53" ht="50.1" customHeight="1" x14ac:dyDescent="0.25">
      <c r="A275" s="17">
        <f t="shared" si="18"/>
        <v>261</v>
      </c>
      <c r="B275" s="228"/>
      <c r="C275" s="221"/>
      <c r="D275" s="88"/>
      <c r="E275" s="100"/>
      <c r="F275" s="95"/>
      <c r="G275" s="114"/>
      <c r="H275" s="96"/>
      <c r="I275" s="97"/>
      <c r="J275" s="98"/>
      <c r="K275" s="101"/>
      <c r="L275" s="124"/>
      <c r="M275" s="333"/>
      <c r="N275" s="341"/>
      <c r="O275" s="190"/>
      <c r="P275" s="191"/>
      <c r="Q275" s="190"/>
      <c r="R275" s="191"/>
      <c r="S275" s="294"/>
      <c r="T275" s="300"/>
      <c r="U275" s="306"/>
      <c r="V275" s="308"/>
      <c r="W275" s="248"/>
      <c r="X275" s="342"/>
      <c r="Y275" s="337"/>
      <c r="Z275" s="123"/>
      <c r="AA275" s="83"/>
      <c r="AB275" s="123"/>
      <c r="AC275" s="83"/>
      <c r="AD275" s="123"/>
      <c r="AE275" s="83"/>
      <c r="AF275" s="123"/>
      <c r="AG275" s="243"/>
      <c r="AH275" s="33"/>
      <c r="AI275" s="245"/>
      <c r="AJ275" s="125"/>
      <c r="AK275" s="92"/>
      <c r="AL275" s="126"/>
      <c r="AM275" s="91"/>
      <c r="AN275" s="91"/>
      <c r="AO275" s="197">
        <f t="shared" si="19"/>
        <v>0</v>
      </c>
      <c r="AP275" s="126"/>
      <c r="AQ275" s="217"/>
      <c r="AR275" s="201"/>
      <c r="AS275" s="266"/>
      <c r="AT275" s="94"/>
      <c r="AU275" s="84"/>
      <c r="AV275" s="80"/>
      <c r="AW275" s="81"/>
      <c r="AX275" s="77"/>
      <c r="AY275" s="107"/>
      <c r="AZ275" s="220">
        <f t="shared" si="16"/>
        <v>0</v>
      </c>
      <c r="BA275" s="220">
        <f t="shared" si="17"/>
        <v>0</v>
      </c>
    </row>
    <row r="276" spans="1:53" ht="50.1" customHeight="1" x14ac:dyDescent="0.25">
      <c r="A276" s="17">
        <f t="shared" si="18"/>
        <v>262</v>
      </c>
      <c r="B276" s="229"/>
      <c r="C276" s="222"/>
      <c r="D276" s="112"/>
      <c r="E276" s="128"/>
      <c r="F276" s="183"/>
      <c r="G276" s="130"/>
      <c r="H276" s="131"/>
      <c r="I276" s="132"/>
      <c r="J276" s="189"/>
      <c r="K276" s="133"/>
      <c r="L276" s="134"/>
      <c r="M276" s="334"/>
      <c r="N276" s="343"/>
      <c r="O276" s="192"/>
      <c r="P276" s="191"/>
      <c r="Q276" s="192"/>
      <c r="R276" s="191"/>
      <c r="S276" s="295"/>
      <c r="T276" s="301"/>
      <c r="U276" s="306"/>
      <c r="V276" s="308"/>
      <c r="W276" s="249"/>
      <c r="X276" s="344"/>
      <c r="Y276" s="337"/>
      <c r="Z276" s="33"/>
      <c r="AA276" s="83"/>
      <c r="AB276" s="33"/>
      <c r="AC276" s="83"/>
      <c r="AD276" s="33"/>
      <c r="AE276" s="83"/>
      <c r="AF276" s="33"/>
      <c r="AG276" s="244"/>
      <c r="AH276" s="83"/>
      <c r="AI276" s="246"/>
      <c r="AJ276" s="102"/>
      <c r="AK276" s="92"/>
      <c r="AL276" s="91"/>
      <c r="AM276" s="92"/>
      <c r="AN276" s="351"/>
      <c r="AO276" s="197">
        <f t="shared" si="19"/>
        <v>0</v>
      </c>
      <c r="AP276" s="91"/>
      <c r="AQ276" s="217"/>
      <c r="AR276" s="83"/>
      <c r="AS276" s="267"/>
      <c r="AT276" s="94"/>
      <c r="AU276" s="84"/>
      <c r="AV276" s="136"/>
      <c r="AW276" s="81"/>
      <c r="AX276" s="137"/>
      <c r="AY276" s="138"/>
      <c r="AZ276" s="220">
        <f t="shared" si="16"/>
        <v>0</v>
      </c>
      <c r="BA276" s="220">
        <f t="shared" si="17"/>
        <v>0</v>
      </c>
    </row>
    <row r="277" spans="1:53" ht="50.1" customHeight="1" x14ac:dyDescent="0.25">
      <c r="A277" s="17">
        <f t="shared" si="18"/>
        <v>263</v>
      </c>
      <c r="B277" s="228"/>
      <c r="C277" s="221"/>
      <c r="D277" s="88"/>
      <c r="E277" s="100"/>
      <c r="F277" s="95"/>
      <c r="G277" s="114"/>
      <c r="H277" s="96"/>
      <c r="I277" s="97"/>
      <c r="J277" s="98"/>
      <c r="K277" s="101"/>
      <c r="L277" s="124"/>
      <c r="M277" s="333"/>
      <c r="N277" s="341"/>
      <c r="O277" s="190"/>
      <c r="P277" s="191"/>
      <c r="Q277" s="190"/>
      <c r="R277" s="191"/>
      <c r="S277" s="294"/>
      <c r="T277" s="300"/>
      <c r="U277" s="306"/>
      <c r="V277" s="308"/>
      <c r="W277" s="248"/>
      <c r="X277" s="342"/>
      <c r="Y277" s="337"/>
      <c r="Z277" s="123"/>
      <c r="AA277" s="83"/>
      <c r="AB277" s="123"/>
      <c r="AC277" s="83"/>
      <c r="AD277" s="123"/>
      <c r="AE277" s="83"/>
      <c r="AF277" s="123"/>
      <c r="AG277" s="243"/>
      <c r="AH277" s="33"/>
      <c r="AI277" s="245"/>
      <c r="AJ277" s="125"/>
      <c r="AK277" s="92"/>
      <c r="AL277" s="126"/>
      <c r="AM277" s="91"/>
      <c r="AN277" s="91"/>
      <c r="AO277" s="197">
        <f t="shared" si="19"/>
        <v>0</v>
      </c>
      <c r="AP277" s="126"/>
      <c r="AQ277" s="217"/>
      <c r="AR277" s="201"/>
      <c r="AS277" s="266"/>
      <c r="AT277" s="94"/>
      <c r="AU277" s="84"/>
      <c r="AV277" s="80"/>
      <c r="AW277" s="81"/>
      <c r="AX277" s="77"/>
      <c r="AY277" s="107"/>
      <c r="AZ277" s="220">
        <f t="shared" si="16"/>
        <v>0</v>
      </c>
      <c r="BA277" s="220">
        <f t="shared" si="17"/>
        <v>0</v>
      </c>
    </row>
    <row r="278" spans="1:53" ht="50.1" customHeight="1" x14ac:dyDescent="0.25">
      <c r="A278" s="17">
        <f t="shared" si="18"/>
        <v>264</v>
      </c>
      <c r="B278" s="229"/>
      <c r="C278" s="222"/>
      <c r="D278" s="112"/>
      <c r="E278" s="128"/>
      <c r="F278" s="183"/>
      <c r="G278" s="130"/>
      <c r="H278" s="131"/>
      <c r="I278" s="132"/>
      <c r="J278" s="189"/>
      <c r="K278" s="133"/>
      <c r="L278" s="134"/>
      <c r="M278" s="334"/>
      <c r="N278" s="343"/>
      <c r="O278" s="192"/>
      <c r="P278" s="191"/>
      <c r="Q278" s="192"/>
      <c r="R278" s="191"/>
      <c r="S278" s="295"/>
      <c r="T278" s="301"/>
      <c r="U278" s="306"/>
      <c r="V278" s="308"/>
      <c r="W278" s="249"/>
      <c r="X278" s="344"/>
      <c r="Y278" s="337"/>
      <c r="Z278" s="33"/>
      <c r="AA278" s="83"/>
      <c r="AB278" s="33"/>
      <c r="AC278" s="83"/>
      <c r="AD278" s="33"/>
      <c r="AE278" s="83"/>
      <c r="AF278" s="33"/>
      <c r="AG278" s="244"/>
      <c r="AH278" s="83"/>
      <c r="AI278" s="246"/>
      <c r="AJ278" s="195"/>
      <c r="AK278" s="92"/>
      <c r="AL278" s="91"/>
      <c r="AM278" s="92"/>
      <c r="AN278" s="351"/>
      <c r="AO278" s="197">
        <f t="shared" si="19"/>
        <v>0</v>
      </c>
      <c r="AP278" s="91"/>
      <c r="AQ278" s="217"/>
      <c r="AR278" s="83"/>
      <c r="AS278" s="267"/>
      <c r="AT278" s="94"/>
      <c r="AU278" s="84"/>
      <c r="AV278" s="136"/>
      <c r="AW278" s="81"/>
      <c r="AX278" s="137"/>
      <c r="AY278" s="138"/>
      <c r="AZ278" s="220">
        <f t="shared" si="16"/>
        <v>0</v>
      </c>
      <c r="BA278" s="220">
        <f t="shared" si="17"/>
        <v>0</v>
      </c>
    </row>
    <row r="279" spans="1:53" ht="50.1" customHeight="1" x14ac:dyDescent="0.25">
      <c r="A279" s="17">
        <f t="shared" si="18"/>
        <v>265</v>
      </c>
      <c r="B279" s="228"/>
      <c r="C279" s="221"/>
      <c r="D279" s="88"/>
      <c r="E279" s="100"/>
      <c r="F279" s="95"/>
      <c r="G279" s="114"/>
      <c r="H279" s="96"/>
      <c r="I279" s="97"/>
      <c r="J279" s="98"/>
      <c r="K279" s="101"/>
      <c r="L279" s="124"/>
      <c r="M279" s="333"/>
      <c r="N279" s="341"/>
      <c r="O279" s="190"/>
      <c r="P279" s="191"/>
      <c r="Q279" s="190"/>
      <c r="R279" s="191"/>
      <c r="S279" s="294"/>
      <c r="T279" s="300"/>
      <c r="U279" s="306"/>
      <c r="V279" s="308"/>
      <c r="W279" s="248"/>
      <c r="X279" s="342"/>
      <c r="Y279" s="337"/>
      <c r="Z279" s="123"/>
      <c r="AA279" s="83"/>
      <c r="AB279" s="123"/>
      <c r="AC279" s="83"/>
      <c r="AD279" s="123"/>
      <c r="AE279" s="83"/>
      <c r="AF279" s="123"/>
      <c r="AG279" s="243"/>
      <c r="AH279" s="33"/>
      <c r="AI279" s="245"/>
      <c r="AJ279" s="125"/>
      <c r="AK279" s="92"/>
      <c r="AL279" s="126"/>
      <c r="AM279" s="91"/>
      <c r="AN279" s="91"/>
      <c r="AO279" s="197">
        <f t="shared" si="19"/>
        <v>0</v>
      </c>
      <c r="AP279" s="126"/>
      <c r="AQ279" s="217"/>
      <c r="AR279" s="201"/>
      <c r="AS279" s="266"/>
      <c r="AT279" s="94"/>
      <c r="AU279" s="84"/>
      <c r="AV279" s="80"/>
      <c r="AW279" s="81"/>
      <c r="AX279" s="77"/>
      <c r="AY279" s="107"/>
      <c r="AZ279" s="220">
        <f t="shared" si="16"/>
        <v>0</v>
      </c>
      <c r="BA279" s="220">
        <f t="shared" si="17"/>
        <v>0</v>
      </c>
    </row>
    <row r="280" spans="1:53" ht="50.1" customHeight="1" x14ac:dyDescent="0.25">
      <c r="A280" s="17">
        <f t="shared" si="18"/>
        <v>266</v>
      </c>
      <c r="B280" s="229"/>
      <c r="C280" s="222"/>
      <c r="D280" s="112"/>
      <c r="E280" s="128"/>
      <c r="F280" s="183"/>
      <c r="G280" s="130"/>
      <c r="H280" s="131"/>
      <c r="I280" s="132"/>
      <c r="J280" s="189"/>
      <c r="K280" s="133"/>
      <c r="L280" s="134"/>
      <c r="M280" s="334"/>
      <c r="N280" s="343"/>
      <c r="O280" s="192"/>
      <c r="P280" s="191"/>
      <c r="Q280" s="192"/>
      <c r="R280" s="191"/>
      <c r="S280" s="295"/>
      <c r="T280" s="301"/>
      <c r="U280" s="306"/>
      <c r="V280" s="308"/>
      <c r="W280" s="249"/>
      <c r="X280" s="344"/>
      <c r="Y280" s="337"/>
      <c r="Z280" s="33"/>
      <c r="AA280" s="83"/>
      <c r="AB280" s="33"/>
      <c r="AC280" s="83"/>
      <c r="AD280" s="33"/>
      <c r="AE280" s="83"/>
      <c r="AF280" s="33"/>
      <c r="AG280" s="244"/>
      <c r="AH280" s="83"/>
      <c r="AI280" s="246"/>
      <c r="AJ280" s="102"/>
      <c r="AK280" s="92"/>
      <c r="AL280" s="91"/>
      <c r="AM280" s="92"/>
      <c r="AN280" s="351"/>
      <c r="AO280" s="197">
        <f t="shared" si="19"/>
        <v>0</v>
      </c>
      <c r="AP280" s="91"/>
      <c r="AQ280" s="217"/>
      <c r="AR280" s="83"/>
      <c r="AS280" s="267"/>
      <c r="AT280" s="94"/>
      <c r="AU280" s="84"/>
      <c r="AV280" s="136"/>
      <c r="AW280" s="81"/>
      <c r="AX280" s="137"/>
      <c r="AY280" s="138"/>
      <c r="AZ280" s="220">
        <f t="shared" si="16"/>
        <v>0</v>
      </c>
      <c r="BA280" s="220">
        <f t="shared" si="17"/>
        <v>0</v>
      </c>
    </row>
    <row r="281" spans="1:53" ht="50.1" customHeight="1" x14ac:dyDescent="0.25">
      <c r="A281" s="17">
        <f t="shared" si="18"/>
        <v>267</v>
      </c>
      <c r="B281" s="228"/>
      <c r="C281" s="221"/>
      <c r="D281" s="180"/>
      <c r="E281" s="100"/>
      <c r="F281" s="95"/>
      <c r="G281" s="114"/>
      <c r="H281" s="96"/>
      <c r="I281" s="97"/>
      <c r="J281" s="98"/>
      <c r="K281" s="101"/>
      <c r="L281" s="124"/>
      <c r="M281" s="333"/>
      <c r="N281" s="341"/>
      <c r="O281" s="190"/>
      <c r="P281" s="191"/>
      <c r="Q281" s="190"/>
      <c r="R281" s="191"/>
      <c r="S281" s="294"/>
      <c r="T281" s="300"/>
      <c r="U281" s="306"/>
      <c r="V281" s="308"/>
      <c r="W281" s="248"/>
      <c r="X281" s="342"/>
      <c r="Y281" s="337"/>
      <c r="Z281" s="123"/>
      <c r="AA281" s="83"/>
      <c r="AB281" s="123"/>
      <c r="AC281" s="83"/>
      <c r="AD281" s="123"/>
      <c r="AE281" s="83"/>
      <c r="AF281" s="123"/>
      <c r="AG281" s="243"/>
      <c r="AH281" s="33"/>
      <c r="AI281" s="245"/>
      <c r="AJ281" s="125"/>
      <c r="AK281" s="92"/>
      <c r="AL281" s="126"/>
      <c r="AM281" s="91"/>
      <c r="AN281" s="91"/>
      <c r="AO281" s="197">
        <f t="shared" si="19"/>
        <v>0</v>
      </c>
      <c r="AP281" s="126"/>
      <c r="AQ281" s="217"/>
      <c r="AR281" s="123"/>
      <c r="AS281" s="268"/>
      <c r="AT281" s="94"/>
      <c r="AU281" s="84"/>
      <c r="AV281" s="80"/>
      <c r="AW281" s="81"/>
      <c r="AX281" s="77"/>
      <c r="AY281" s="107"/>
      <c r="AZ281" s="220">
        <f t="shared" si="16"/>
        <v>0</v>
      </c>
      <c r="BA281" s="220">
        <f t="shared" si="17"/>
        <v>0</v>
      </c>
    </row>
    <row r="282" spans="1:53" ht="50.1" customHeight="1" x14ac:dyDescent="0.25">
      <c r="A282" s="17">
        <f t="shared" si="18"/>
        <v>268</v>
      </c>
      <c r="B282" s="229"/>
      <c r="C282" s="222"/>
      <c r="D282" s="181"/>
      <c r="E282" s="128"/>
      <c r="F282" s="184"/>
      <c r="G282" s="130"/>
      <c r="H282" s="186"/>
      <c r="I282" s="187"/>
      <c r="J282" s="189"/>
      <c r="K282" s="133"/>
      <c r="L282" s="134"/>
      <c r="M282" s="334"/>
      <c r="N282" s="343"/>
      <c r="O282" s="192"/>
      <c r="P282" s="191"/>
      <c r="Q282" s="192"/>
      <c r="R282" s="191"/>
      <c r="S282" s="295"/>
      <c r="T282" s="301"/>
      <c r="U282" s="306"/>
      <c r="V282" s="308"/>
      <c r="W282" s="249"/>
      <c r="X282" s="345"/>
      <c r="Y282" s="337"/>
      <c r="Z282" s="33"/>
      <c r="AA282" s="83"/>
      <c r="AB282" s="33"/>
      <c r="AC282" s="83"/>
      <c r="AD282" s="33"/>
      <c r="AE282" s="83"/>
      <c r="AF282" s="33"/>
      <c r="AG282" s="244"/>
      <c r="AH282" s="83"/>
      <c r="AI282" s="246"/>
      <c r="AJ282" s="102"/>
      <c r="AK282" s="92"/>
      <c r="AL282" s="91"/>
      <c r="AM282" s="92"/>
      <c r="AN282" s="351"/>
      <c r="AO282" s="197">
        <f t="shared" si="19"/>
        <v>0</v>
      </c>
      <c r="AP282" s="91"/>
      <c r="AQ282" s="217"/>
      <c r="AR282" s="83"/>
      <c r="AS282" s="267"/>
      <c r="AT282" s="94"/>
      <c r="AU282" s="84"/>
      <c r="AV282" s="136"/>
      <c r="AW282" s="81"/>
      <c r="AX282" s="137"/>
      <c r="AY282" s="138"/>
      <c r="AZ282" s="220">
        <f t="shared" si="16"/>
        <v>0</v>
      </c>
      <c r="BA282" s="220">
        <f t="shared" si="17"/>
        <v>0</v>
      </c>
    </row>
    <row r="283" spans="1:53" ht="50.1" customHeight="1" x14ac:dyDescent="0.25">
      <c r="A283" s="17">
        <f t="shared" si="18"/>
        <v>269</v>
      </c>
      <c r="B283" s="228"/>
      <c r="C283" s="221"/>
      <c r="D283" s="180"/>
      <c r="E283" s="100"/>
      <c r="F283" s="182"/>
      <c r="G283" s="114"/>
      <c r="H283" s="185"/>
      <c r="I283" s="108"/>
      <c r="J283" s="98"/>
      <c r="K283" s="101"/>
      <c r="L283" s="124"/>
      <c r="M283" s="333"/>
      <c r="N283" s="341"/>
      <c r="O283" s="190"/>
      <c r="P283" s="191"/>
      <c r="Q283" s="190"/>
      <c r="R283" s="191"/>
      <c r="S283" s="294"/>
      <c r="T283" s="300"/>
      <c r="U283" s="306"/>
      <c r="V283" s="308"/>
      <c r="W283" s="248"/>
      <c r="X283" s="342"/>
      <c r="Y283" s="337"/>
      <c r="Z283" s="123"/>
      <c r="AA283" s="83"/>
      <c r="AB283" s="123"/>
      <c r="AC283" s="83"/>
      <c r="AD283" s="123"/>
      <c r="AE283" s="83"/>
      <c r="AF283" s="123"/>
      <c r="AG283" s="243"/>
      <c r="AH283" s="33"/>
      <c r="AI283" s="245"/>
      <c r="AJ283" s="125"/>
      <c r="AK283" s="92"/>
      <c r="AL283" s="126"/>
      <c r="AM283" s="91"/>
      <c r="AN283" s="91"/>
      <c r="AO283" s="197">
        <f t="shared" si="19"/>
        <v>0</v>
      </c>
      <c r="AP283" s="126"/>
      <c r="AQ283" s="217"/>
      <c r="AR283" s="201"/>
      <c r="AS283" s="266"/>
      <c r="AT283" s="94"/>
      <c r="AU283" s="84"/>
      <c r="AV283" s="80"/>
      <c r="AW283" s="81"/>
      <c r="AX283" s="77"/>
      <c r="AY283" s="107"/>
      <c r="AZ283" s="220">
        <f t="shared" si="16"/>
        <v>0</v>
      </c>
      <c r="BA283" s="220">
        <f t="shared" si="17"/>
        <v>0</v>
      </c>
    </row>
    <row r="284" spans="1:53" ht="50.1" customHeight="1" x14ac:dyDescent="0.25">
      <c r="A284" s="17">
        <f t="shared" si="18"/>
        <v>270</v>
      </c>
      <c r="B284" s="229"/>
      <c r="C284" s="222"/>
      <c r="D284" s="181"/>
      <c r="E284" s="128"/>
      <c r="F284" s="184"/>
      <c r="G284" s="130"/>
      <c r="H284" s="186"/>
      <c r="I284" s="187"/>
      <c r="J284" s="189"/>
      <c r="K284" s="133"/>
      <c r="L284" s="134"/>
      <c r="M284" s="334"/>
      <c r="N284" s="343"/>
      <c r="O284" s="193"/>
      <c r="P284" s="191"/>
      <c r="Q284" s="193"/>
      <c r="R284" s="191"/>
      <c r="S284" s="296"/>
      <c r="T284" s="302"/>
      <c r="U284" s="306"/>
      <c r="V284" s="308"/>
      <c r="W284" s="249"/>
      <c r="X284" s="344"/>
      <c r="Y284" s="337"/>
      <c r="Z284" s="33"/>
      <c r="AA284" s="83"/>
      <c r="AB284" s="33"/>
      <c r="AC284" s="83"/>
      <c r="AD284" s="33"/>
      <c r="AE284" s="83"/>
      <c r="AF284" s="33"/>
      <c r="AG284" s="244"/>
      <c r="AH284" s="83"/>
      <c r="AI284" s="246"/>
      <c r="AJ284" s="102"/>
      <c r="AK284" s="92"/>
      <c r="AL284" s="91"/>
      <c r="AM284" s="92"/>
      <c r="AN284" s="351"/>
      <c r="AO284" s="197">
        <f t="shared" si="19"/>
        <v>0</v>
      </c>
      <c r="AP284" s="91"/>
      <c r="AQ284" s="217"/>
      <c r="AR284" s="83"/>
      <c r="AS284" s="267"/>
      <c r="AT284" s="94"/>
      <c r="AU284" s="84"/>
      <c r="AV284" s="136"/>
      <c r="AW284" s="81"/>
      <c r="AX284" s="137"/>
      <c r="AY284" s="138"/>
      <c r="AZ284" s="220">
        <f t="shared" si="16"/>
        <v>0</v>
      </c>
      <c r="BA284" s="220">
        <f t="shared" si="17"/>
        <v>0</v>
      </c>
    </row>
    <row r="285" spans="1:53" ht="50.1" customHeight="1" x14ac:dyDescent="0.25">
      <c r="A285" s="17">
        <f t="shared" si="18"/>
        <v>271</v>
      </c>
      <c r="B285" s="228"/>
      <c r="C285" s="221"/>
      <c r="D285" s="180"/>
      <c r="E285" s="100"/>
      <c r="F285" s="182"/>
      <c r="G285" s="114"/>
      <c r="H285" s="185"/>
      <c r="I285" s="108"/>
      <c r="J285" s="98"/>
      <c r="K285" s="101"/>
      <c r="L285" s="124"/>
      <c r="M285" s="333"/>
      <c r="N285" s="341"/>
      <c r="O285" s="190"/>
      <c r="P285" s="191"/>
      <c r="Q285" s="190"/>
      <c r="R285" s="191"/>
      <c r="S285" s="294"/>
      <c r="T285" s="300"/>
      <c r="U285" s="306"/>
      <c r="V285" s="308"/>
      <c r="W285" s="248"/>
      <c r="X285" s="342"/>
      <c r="Y285" s="337"/>
      <c r="Z285" s="123"/>
      <c r="AA285" s="83"/>
      <c r="AB285" s="123"/>
      <c r="AC285" s="83"/>
      <c r="AD285" s="123"/>
      <c r="AE285" s="83"/>
      <c r="AF285" s="123"/>
      <c r="AG285" s="243"/>
      <c r="AH285" s="33"/>
      <c r="AI285" s="245"/>
      <c r="AJ285" s="125"/>
      <c r="AK285" s="92"/>
      <c r="AL285" s="126"/>
      <c r="AM285" s="91"/>
      <c r="AN285" s="91"/>
      <c r="AO285" s="197">
        <f t="shared" si="19"/>
        <v>0</v>
      </c>
      <c r="AP285" s="126"/>
      <c r="AQ285" s="217"/>
      <c r="AR285" s="200"/>
      <c r="AS285" s="263"/>
      <c r="AT285" s="94"/>
      <c r="AU285" s="84"/>
      <c r="AV285" s="80"/>
      <c r="AW285" s="81"/>
      <c r="AX285" s="77"/>
      <c r="AY285" s="107"/>
      <c r="AZ285" s="220">
        <f t="shared" si="16"/>
        <v>0</v>
      </c>
      <c r="BA285" s="220">
        <f t="shared" si="17"/>
        <v>0</v>
      </c>
    </row>
    <row r="286" spans="1:53" ht="50.1" customHeight="1" x14ac:dyDescent="0.25">
      <c r="A286" s="17">
        <f t="shared" si="18"/>
        <v>272</v>
      </c>
      <c r="B286" s="229"/>
      <c r="C286" s="222"/>
      <c r="D286" s="181"/>
      <c r="E286" s="128"/>
      <c r="F286" s="184"/>
      <c r="G286" s="130"/>
      <c r="H286" s="186"/>
      <c r="I286" s="187"/>
      <c r="J286" s="189"/>
      <c r="K286" s="133"/>
      <c r="L286" s="134"/>
      <c r="M286" s="334"/>
      <c r="N286" s="343"/>
      <c r="O286" s="192"/>
      <c r="P286" s="191"/>
      <c r="Q286" s="192"/>
      <c r="R286" s="191"/>
      <c r="S286" s="295"/>
      <c r="T286" s="301"/>
      <c r="U286" s="306"/>
      <c r="V286" s="308"/>
      <c r="W286" s="249"/>
      <c r="X286" s="344"/>
      <c r="Y286" s="337"/>
      <c r="Z286" s="33"/>
      <c r="AA286" s="83"/>
      <c r="AB286" s="33"/>
      <c r="AC286" s="83"/>
      <c r="AD286" s="33"/>
      <c r="AE286" s="83"/>
      <c r="AF286" s="33"/>
      <c r="AG286" s="244"/>
      <c r="AH286" s="83"/>
      <c r="AI286" s="246"/>
      <c r="AJ286" s="102"/>
      <c r="AK286" s="92"/>
      <c r="AL286" s="91"/>
      <c r="AM286" s="92"/>
      <c r="AN286" s="351"/>
      <c r="AO286" s="197">
        <f t="shared" si="19"/>
        <v>0</v>
      </c>
      <c r="AP286" s="91"/>
      <c r="AQ286" s="217"/>
      <c r="AR286" s="103"/>
      <c r="AS286" s="264"/>
      <c r="AT286" s="94"/>
      <c r="AU286" s="84"/>
      <c r="AV286" s="136"/>
      <c r="AW286" s="81"/>
      <c r="AX286" s="137"/>
      <c r="AY286" s="138"/>
      <c r="AZ286" s="220">
        <f t="shared" si="16"/>
        <v>0</v>
      </c>
      <c r="BA286" s="220">
        <f t="shared" si="17"/>
        <v>0</v>
      </c>
    </row>
    <row r="287" spans="1:53" ht="50.1" customHeight="1" x14ac:dyDescent="0.25">
      <c r="A287" s="17">
        <f t="shared" si="18"/>
        <v>273</v>
      </c>
      <c r="B287" s="228"/>
      <c r="C287" s="221"/>
      <c r="D287" s="180"/>
      <c r="E287" s="100"/>
      <c r="F287" s="182"/>
      <c r="G287" s="114"/>
      <c r="H287" s="185"/>
      <c r="I287" s="108"/>
      <c r="J287" s="98"/>
      <c r="K287" s="101"/>
      <c r="L287" s="124"/>
      <c r="M287" s="333"/>
      <c r="N287" s="341"/>
      <c r="O287" s="190"/>
      <c r="P287" s="191"/>
      <c r="Q287" s="190"/>
      <c r="R287" s="191"/>
      <c r="S287" s="294"/>
      <c r="T287" s="300"/>
      <c r="U287" s="306"/>
      <c r="V287" s="308"/>
      <c r="W287" s="248"/>
      <c r="X287" s="342"/>
      <c r="Y287" s="337"/>
      <c r="Z287" s="123"/>
      <c r="AA287" s="83"/>
      <c r="AB287" s="123"/>
      <c r="AC287" s="83"/>
      <c r="AD287" s="123"/>
      <c r="AE287" s="83"/>
      <c r="AF287" s="123"/>
      <c r="AG287" s="243"/>
      <c r="AH287" s="33"/>
      <c r="AI287" s="245"/>
      <c r="AJ287" s="125"/>
      <c r="AK287" s="92"/>
      <c r="AL287" s="126"/>
      <c r="AM287" s="91"/>
      <c r="AN287" s="91"/>
      <c r="AO287" s="197">
        <f t="shared" si="19"/>
        <v>0</v>
      </c>
      <c r="AP287" s="126"/>
      <c r="AQ287" s="217"/>
      <c r="AR287" s="200"/>
      <c r="AS287" s="263"/>
      <c r="AT287" s="94"/>
      <c r="AU287" s="84"/>
      <c r="AV287" s="80"/>
      <c r="AW287" s="81"/>
      <c r="AX287" s="77"/>
      <c r="AY287" s="107"/>
      <c r="AZ287" s="220">
        <f t="shared" si="16"/>
        <v>0</v>
      </c>
      <c r="BA287" s="220">
        <f t="shared" si="17"/>
        <v>0</v>
      </c>
    </row>
    <row r="288" spans="1:53" ht="50.1" customHeight="1" x14ac:dyDescent="0.25">
      <c r="A288" s="17">
        <f t="shared" si="18"/>
        <v>274</v>
      </c>
      <c r="B288" s="229"/>
      <c r="C288" s="222"/>
      <c r="D288" s="112"/>
      <c r="E288" s="128"/>
      <c r="F288" s="183"/>
      <c r="G288" s="130"/>
      <c r="H288" s="131"/>
      <c r="I288" s="132"/>
      <c r="J288" s="189"/>
      <c r="K288" s="133"/>
      <c r="L288" s="134"/>
      <c r="M288" s="334"/>
      <c r="N288" s="343"/>
      <c r="O288" s="192"/>
      <c r="P288" s="191"/>
      <c r="Q288" s="192"/>
      <c r="R288" s="191"/>
      <c r="S288" s="295"/>
      <c r="T288" s="301"/>
      <c r="U288" s="306"/>
      <c r="V288" s="308"/>
      <c r="W288" s="249"/>
      <c r="X288" s="344"/>
      <c r="Y288" s="337"/>
      <c r="Z288" s="33"/>
      <c r="AA288" s="83"/>
      <c r="AB288" s="33"/>
      <c r="AC288" s="83"/>
      <c r="AD288" s="33"/>
      <c r="AE288" s="83"/>
      <c r="AF288" s="33"/>
      <c r="AG288" s="244"/>
      <c r="AH288" s="83"/>
      <c r="AI288" s="246"/>
      <c r="AJ288" s="102"/>
      <c r="AK288" s="92"/>
      <c r="AL288" s="91"/>
      <c r="AM288" s="92"/>
      <c r="AN288" s="351"/>
      <c r="AO288" s="197">
        <f t="shared" si="19"/>
        <v>0</v>
      </c>
      <c r="AP288" s="91"/>
      <c r="AQ288" s="217"/>
      <c r="AR288" s="103"/>
      <c r="AS288" s="264"/>
      <c r="AT288" s="94"/>
      <c r="AU288" s="84"/>
      <c r="AV288" s="136"/>
      <c r="AW288" s="81"/>
      <c r="AX288" s="137"/>
      <c r="AY288" s="138"/>
      <c r="AZ288" s="220">
        <f t="shared" si="16"/>
        <v>0</v>
      </c>
      <c r="BA288" s="220">
        <f t="shared" si="17"/>
        <v>0</v>
      </c>
    </row>
    <row r="289" spans="1:53" ht="50.1" customHeight="1" x14ac:dyDescent="0.25">
      <c r="A289" s="17">
        <f t="shared" si="18"/>
        <v>275</v>
      </c>
      <c r="B289" s="228"/>
      <c r="C289" s="221"/>
      <c r="D289" s="88"/>
      <c r="E289" s="100"/>
      <c r="F289" s="95"/>
      <c r="G289" s="114"/>
      <c r="H289" s="96"/>
      <c r="I289" s="97"/>
      <c r="J289" s="98"/>
      <c r="K289" s="101"/>
      <c r="L289" s="124"/>
      <c r="M289" s="333"/>
      <c r="N289" s="341"/>
      <c r="O289" s="190"/>
      <c r="P289" s="191"/>
      <c r="Q289" s="190"/>
      <c r="R289" s="191"/>
      <c r="S289" s="294"/>
      <c r="T289" s="300"/>
      <c r="U289" s="306"/>
      <c r="V289" s="308"/>
      <c r="W289" s="248"/>
      <c r="X289" s="342"/>
      <c r="Y289" s="337"/>
      <c r="Z289" s="123"/>
      <c r="AA289" s="83"/>
      <c r="AB289" s="123"/>
      <c r="AC289" s="83"/>
      <c r="AD289" s="123"/>
      <c r="AE289" s="83"/>
      <c r="AF289" s="123"/>
      <c r="AG289" s="243"/>
      <c r="AH289" s="33"/>
      <c r="AI289" s="245"/>
      <c r="AJ289" s="125"/>
      <c r="AK289" s="92"/>
      <c r="AL289" s="126"/>
      <c r="AM289" s="91"/>
      <c r="AN289" s="91"/>
      <c r="AO289" s="197">
        <f t="shared" si="19"/>
        <v>0</v>
      </c>
      <c r="AP289" s="126"/>
      <c r="AQ289" s="217"/>
      <c r="AR289" s="200"/>
      <c r="AS289" s="263"/>
      <c r="AT289" s="94"/>
      <c r="AU289" s="84"/>
      <c r="AV289" s="80"/>
      <c r="AW289" s="81"/>
      <c r="AX289" s="77"/>
      <c r="AY289" s="107"/>
      <c r="AZ289" s="220">
        <f t="shared" si="16"/>
        <v>0</v>
      </c>
      <c r="BA289" s="220">
        <f t="shared" si="17"/>
        <v>0</v>
      </c>
    </row>
    <row r="290" spans="1:53" ht="50.1" customHeight="1" x14ac:dyDescent="0.25">
      <c r="A290" s="17">
        <f t="shared" si="18"/>
        <v>276</v>
      </c>
      <c r="B290" s="229"/>
      <c r="C290" s="222"/>
      <c r="D290" s="112"/>
      <c r="E290" s="128"/>
      <c r="F290" s="183"/>
      <c r="G290" s="130"/>
      <c r="H290" s="131"/>
      <c r="I290" s="132"/>
      <c r="J290" s="189"/>
      <c r="K290" s="133"/>
      <c r="L290" s="134"/>
      <c r="M290" s="334"/>
      <c r="N290" s="343"/>
      <c r="O290" s="192"/>
      <c r="P290" s="191"/>
      <c r="Q290" s="192"/>
      <c r="R290" s="191"/>
      <c r="S290" s="295"/>
      <c r="T290" s="301"/>
      <c r="U290" s="306"/>
      <c r="V290" s="308"/>
      <c r="W290" s="249"/>
      <c r="X290" s="344"/>
      <c r="Y290" s="337"/>
      <c r="Z290" s="33"/>
      <c r="AA290" s="83"/>
      <c r="AB290" s="33"/>
      <c r="AC290" s="83"/>
      <c r="AD290" s="33"/>
      <c r="AE290" s="83"/>
      <c r="AF290" s="33"/>
      <c r="AG290" s="244"/>
      <c r="AH290" s="83"/>
      <c r="AI290" s="246"/>
      <c r="AJ290" s="102"/>
      <c r="AK290" s="92"/>
      <c r="AL290" s="91"/>
      <c r="AM290" s="92"/>
      <c r="AN290" s="351"/>
      <c r="AO290" s="197">
        <f t="shared" si="19"/>
        <v>0</v>
      </c>
      <c r="AP290" s="91"/>
      <c r="AQ290" s="217"/>
      <c r="AR290" s="103"/>
      <c r="AS290" s="264"/>
      <c r="AT290" s="94"/>
      <c r="AU290" s="84"/>
      <c r="AV290" s="136"/>
      <c r="AW290" s="81"/>
      <c r="AX290" s="137"/>
      <c r="AY290" s="138"/>
      <c r="AZ290" s="220">
        <f t="shared" si="16"/>
        <v>0</v>
      </c>
      <c r="BA290" s="220">
        <f t="shared" si="17"/>
        <v>0</v>
      </c>
    </row>
    <row r="291" spans="1:53" ht="50.1" customHeight="1" x14ac:dyDescent="0.25">
      <c r="A291" s="17">
        <f t="shared" si="18"/>
        <v>277</v>
      </c>
      <c r="B291" s="228"/>
      <c r="C291" s="221"/>
      <c r="D291" s="88"/>
      <c r="E291" s="100"/>
      <c r="F291" s="95"/>
      <c r="G291" s="114"/>
      <c r="H291" s="96"/>
      <c r="I291" s="97"/>
      <c r="J291" s="98"/>
      <c r="K291" s="101"/>
      <c r="L291" s="124"/>
      <c r="M291" s="333"/>
      <c r="N291" s="341"/>
      <c r="O291" s="190"/>
      <c r="P291" s="191"/>
      <c r="Q291" s="190"/>
      <c r="R291" s="191"/>
      <c r="S291" s="294"/>
      <c r="T291" s="300"/>
      <c r="U291" s="306"/>
      <c r="V291" s="308"/>
      <c r="W291" s="248"/>
      <c r="X291" s="342"/>
      <c r="Y291" s="337"/>
      <c r="Z291" s="123"/>
      <c r="AA291" s="83"/>
      <c r="AB291" s="123"/>
      <c r="AC291" s="83"/>
      <c r="AD291" s="123"/>
      <c r="AE291" s="83"/>
      <c r="AF291" s="123"/>
      <c r="AG291" s="243"/>
      <c r="AH291" s="33"/>
      <c r="AI291" s="245"/>
      <c r="AJ291" s="125"/>
      <c r="AK291" s="92"/>
      <c r="AL291" s="126"/>
      <c r="AM291" s="91"/>
      <c r="AN291" s="91"/>
      <c r="AO291" s="197">
        <f t="shared" si="19"/>
        <v>0</v>
      </c>
      <c r="AP291" s="126"/>
      <c r="AQ291" s="217"/>
      <c r="AR291" s="200"/>
      <c r="AS291" s="263"/>
      <c r="AT291" s="94"/>
      <c r="AU291" s="84"/>
      <c r="AV291" s="80"/>
      <c r="AW291" s="81"/>
      <c r="AX291" s="77"/>
      <c r="AY291" s="107"/>
      <c r="AZ291" s="220">
        <f t="shared" si="16"/>
        <v>0</v>
      </c>
      <c r="BA291" s="220">
        <f t="shared" si="17"/>
        <v>0</v>
      </c>
    </row>
    <row r="292" spans="1:53" ht="50.1" customHeight="1" x14ac:dyDescent="0.25">
      <c r="A292" s="17">
        <f t="shared" si="18"/>
        <v>278</v>
      </c>
      <c r="B292" s="229"/>
      <c r="C292" s="222"/>
      <c r="D292" s="112"/>
      <c r="E292" s="128"/>
      <c r="F292" s="183"/>
      <c r="G292" s="130"/>
      <c r="H292" s="131"/>
      <c r="I292" s="132"/>
      <c r="J292" s="189"/>
      <c r="K292" s="133"/>
      <c r="L292" s="134"/>
      <c r="M292" s="334"/>
      <c r="N292" s="343"/>
      <c r="O292" s="192"/>
      <c r="P292" s="191"/>
      <c r="Q292" s="192"/>
      <c r="R292" s="191"/>
      <c r="S292" s="295"/>
      <c r="T292" s="301"/>
      <c r="U292" s="306"/>
      <c r="V292" s="308"/>
      <c r="W292" s="249"/>
      <c r="X292" s="344"/>
      <c r="Y292" s="337"/>
      <c r="Z292" s="33"/>
      <c r="AA292" s="83"/>
      <c r="AB292" s="33"/>
      <c r="AC292" s="83"/>
      <c r="AD292" s="33"/>
      <c r="AE292" s="83"/>
      <c r="AF292" s="33"/>
      <c r="AG292" s="244"/>
      <c r="AH292" s="83"/>
      <c r="AI292" s="246"/>
      <c r="AJ292" s="102"/>
      <c r="AK292" s="92"/>
      <c r="AL292" s="91"/>
      <c r="AM292" s="92"/>
      <c r="AN292" s="351"/>
      <c r="AO292" s="197">
        <f t="shared" si="19"/>
        <v>0</v>
      </c>
      <c r="AP292" s="91"/>
      <c r="AQ292" s="217"/>
      <c r="AR292" s="103"/>
      <c r="AS292" s="264"/>
      <c r="AT292" s="94"/>
      <c r="AU292" s="84"/>
      <c r="AV292" s="136"/>
      <c r="AW292" s="81"/>
      <c r="AX292" s="137"/>
      <c r="AY292" s="138"/>
      <c r="AZ292" s="220">
        <f t="shared" si="16"/>
        <v>0</v>
      </c>
      <c r="BA292" s="220">
        <f t="shared" si="17"/>
        <v>0</v>
      </c>
    </row>
    <row r="293" spans="1:53" ht="50.1" customHeight="1" x14ac:dyDescent="0.25">
      <c r="A293" s="17">
        <f t="shared" si="18"/>
        <v>279</v>
      </c>
      <c r="B293" s="228"/>
      <c r="C293" s="221"/>
      <c r="D293" s="88"/>
      <c r="E293" s="100"/>
      <c r="F293" s="95"/>
      <c r="G293" s="114"/>
      <c r="H293" s="96"/>
      <c r="I293" s="97"/>
      <c r="J293" s="98"/>
      <c r="K293" s="101"/>
      <c r="L293" s="124"/>
      <c r="M293" s="333"/>
      <c r="N293" s="341"/>
      <c r="O293" s="190"/>
      <c r="P293" s="191"/>
      <c r="Q293" s="190"/>
      <c r="R293" s="191"/>
      <c r="S293" s="294"/>
      <c r="T293" s="300"/>
      <c r="U293" s="306"/>
      <c r="V293" s="308"/>
      <c r="W293" s="248"/>
      <c r="X293" s="342"/>
      <c r="Y293" s="337"/>
      <c r="Z293" s="123"/>
      <c r="AA293" s="83"/>
      <c r="AB293" s="123"/>
      <c r="AC293" s="83"/>
      <c r="AD293" s="123"/>
      <c r="AE293" s="83"/>
      <c r="AF293" s="123"/>
      <c r="AG293" s="243"/>
      <c r="AH293" s="33"/>
      <c r="AI293" s="245"/>
      <c r="AJ293" s="125"/>
      <c r="AK293" s="92"/>
      <c r="AL293" s="126"/>
      <c r="AM293" s="91"/>
      <c r="AN293" s="91"/>
      <c r="AO293" s="197">
        <f t="shared" si="19"/>
        <v>0</v>
      </c>
      <c r="AP293" s="126"/>
      <c r="AQ293" s="217"/>
      <c r="AR293" s="200"/>
      <c r="AS293" s="263"/>
      <c r="AT293" s="94"/>
      <c r="AU293" s="84"/>
      <c r="AV293" s="80"/>
      <c r="AW293" s="81"/>
      <c r="AX293" s="77"/>
      <c r="AY293" s="107"/>
      <c r="AZ293" s="220">
        <f t="shared" si="16"/>
        <v>0</v>
      </c>
      <c r="BA293" s="220">
        <f t="shared" si="17"/>
        <v>0</v>
      </c>
    </row>
    <row r="294" spans="1:53" ht="50.1" customHeight="1" x14ac:dyDescent="0.25">
      <c r="A294" s="17">
        <f t="shared" si="18"/>
        <v>280</v>
      </c>
      <c r="B294" s="229"/>
      <c r="C294" s="222"/>
      <c r="D294" s="112"/>
      <c r="E294" s="128"/>
      <c r="F294" s="183"/>
      <c r="G294" s="130"/>
      <c r="H294" s="131"/>
      <c r="I294" s="132"/>
      <c r="J294" s="189"/>
      <c r="K294" s="133"/>
      <c r="L294" s="134"/>
      <c r="M294" s="334"/>
      <c r="N294" s="343"/>
      <c r="O294" s="192"/>
      <c r="P294" s="191"/>
      <c r="Q294" s="192"/>
      <c r="R294" s="191"/>
      <c r="S294" s="295"/>
      <c r="T294" s="301"/>
      <c r="U294" s="306"/>
      <c r="V294" s="308"/>
      <c r="W294" s="249"/>
      <c r="X294" s="344"/>
      <c r="Y294" s="337"/>
      <c r="Z294" s="33"/>
      <c r="AA294" s="83"/>
      <c r="AB294" s="33"/>
      <c r="AC294" s="83"/>
      <c r="AD294" s="33"/>
      <c r="AE294" s="83"/>
      <c r="AF294" s="33"/>
      <c r="AG294" s="244"/>
      <c r="AH294" s="83"/>
      <c r="AI294" s="246"/>
      <c r="AJ294" s="102"/>
      <c r="AK294" s="92"/>
      <c r="AL294" s="91"/>
      <c r="AM294" s="92"/>
      <c r="AN294" s="351"/>
      <c r="AO294" s="197">
        <f t="shared" si="19"/>
        <v>0</v>
      </c>
      <c r="AP294" s="91"/>
      <c r="AQ294" s="217"/>
      <c r="AR294" s="103"/>
      <c r="AS294" s="264"/>
      <c r="AT294" s="94"/>
      <c r="AU294" s="84"/>
      <c r="AV294" s="136"/>
      <c r="AW294" s="81"/>
      <c r="AX294" s="137"/>
      <c r="AY294" s="138"/>
      <c r="AZ294" s="220">
        <f t="shared" si="16"/>
        <v>0</v>
      </c>
      <c r="BA294" s="220">
        <f t="shared" si="17"/>
        <v>0</v>
      </c>
    </row>
    <row r="295" spans="1:53" ht="50.1" customHeight="1" x14ac:dyDescent="0.25">
      <c r="A295" s="17">
        <f t="shared" si="18"/>
        <v>281</v>
      </c>
      <c r="B295" s="228"/>
      <c r="C295" s="221"/>
      <c r="D295" s="88"/>
      <c r="E295" s="100"/>
      <c r="F295" s="95"/>
      <c r="G295" s="114"/>
      <c r="H295" s="96"/>
      <c r="I295" s="97"/>
      <c r="J295" s="98"/>
      <c r="K295" s="101"/>
      <c r="L295" s="124"/>
      <c r="M295" s="333"/>
      <c r="N295" s="341"/>
      <c r="O295" s="190"/>
      <c r="P295" s="191"/>
      <c r="Q295" s="190"/>
      <c r="R295" s="191"/>
      <c r="S295" s="294"/>
      <c r="T295" s="300"/>
      <c r="U295" s="306"/>
      <c r="V295" s="308"/>
      <c r="W295" s="248"/>
      <c r="X295" s="342"/>
      <c r="Y295" s="337"/>
      <c r="Z295" s="123"/>
      <c r="AA295" s="83"/>
      <c r="AB295" s="123"/>
      <c r="AC295" s="83"/>
      <c r="AD295" s="123"/>
      <c r="AE295" s="83"/>
      <c r="AF295" s="123"/>
      <c r="AG295" s="243"/>
      <c r="AH295" s="33"/>
      <c r="AI295" s="245"/>
      <c r="AJ295" s="125"/>
      <c r="AK295" s="92"/>
      <c r="AL295" s="126"/>
      <c r="AM295" s="91"/>
      <c r="AN295" s="91"/>
      <c r="AO295" s="197">
        <f t="shared" si="19"/>
        <v>0</v>
      </c>
      <c r="AP295" s="126"/>
      <c r="AQ295" s="217"/>
      <c r="AR295" s="201"/>
      <c r="AS295" s="266"/>
      <c r="AT295" s="94"/>
      <c r="AU295" s="84"/>
      <c r="AV295" s="80"/>
      <c r="AW295" s="81"/>
      <c r="AX295" s="77"/>
      <c r="AY295" s="107"/>
      <c r="AZ295" s="220">
        <f t="shared" si="16"/>
        <v>0</v>
      </c>
      <c r="BA295" s="220">
        <f t="shared" si="17"/>
        <v>0</v>
      </c>
    </row>
    <row r="296" spans="1:53" ht="50.1" customHeight="1" x14ac:dyDescent="0.25">
      <c r="A296" s="17">
        <f t="shared" si="18"/>
        <v>282</v>
      </c>
      <c r="B296" s="229"/>
      <c r="C296" s="222"/>
      <c r="D296" s="112"/>
      <c r="E296" s="128"/>
      <c r="F296" s="183"/>
      <c r="G296" s="130"/>
      <c r="H296" s="131"/>
      <c r="I296" s="132"/>
      <c r="J296" s="189"/>
      <c r="K296" s="133"/>
      <c r="L296" s="134"/>
      <c r="M296" s="334"/>
      <c r="N296" s="343"/>
      <c r="O296" s="192"/>
      <c r="P296" s="191"/>
      <c r="Q296" s="192"/>
      <c r="R296" s="191"/>
      <c r="S296" s="295"/>
      <c r="T296" s="301"/>
      <c r="U296" s="306"/>
      <c r="V296" s="308"/>
      <c r="W296" s="249"/>
      <c r="X296" s="344"/>
      <c r="Y296" s="337"/>
      <c r="Z296" s="33"/>
      <c r="AA296" s="83"/>
      <c r="AB296" s="33"/>
      <c r="AC296" s="83"/>
      <c r="AD296" s="33"/>
      <c r="AE296" s="83"/>
      <c r="AF296" s="33"/>
      <c r="AG296" s="244"/>
      <c r="AH296" s="83"/>
      <c r="AI296" s="246"/>
      <c r="AJ296" s="102"/>
      <c r="AK296" s="92"/>
      <c r="AL296" s="91"/>
      <c r="AM296" s="92"/>
      <c r="AN296" s="351"/>
      <c r="AO296" s="197">
        <f t="shared" si="19"/>
        <v>0</v>
      </c>
      <c r="AP296" s="91"/>
      <c r="AQ296" s="217"/>
      <c r="AR296" s="103"/>
      <c r="AS296" s="264"/>
      <c r="AT296" s="94"/>
      <c r="AU296" s="84"/>
      <c r="AV296" s="136"/>
      <c r="AW296" s="81"/>
      <c r="AX296" s="137"/>
      <c r="AY296" s="138"/>
      <c r="AZ296" s="220">
        <f t="shared" si="16"/>
        <v>0</v>
      </c>
      <c r="BA296" s="220">
        <f t="shared" si="17"/>
        <v>0</v>
      </c>
    </row>
    <row r="297" spans="1:53" ht="50.1" customHeight="1" x14ac:dyDescent="0.25">
      <c r="A297" s="17">
        <f t="shared" si="18"/>
        <v>283</v>
      </c>
      <c r="B297" s="228"/>
      <c r="C297" s="221"/>
      <c r="D297" s="88"/>
      <c r="E297" s="100"/>
      <c r="F297" s="95"/>
      <c r="G297" s="114"/>
      <c r="H297" s="96"/>
      <c r="I297" s="97"/>
      <c r="J297" s="98"/>
      <c r="K297" s="101"/>
      <c r="L297" s="124"/>
      <c r="M297" s="333"/>
      <c r="N297" s="341"/>
      <c r="O297" s="190"/>
      <c r="P297" s="191"/>
      <c r="Q297" s="190"/>
      <c r="R297" s="191"/>
      <c r="S297" s="294"/>
      <c r="T297" s="300"/>
      <c r="U297" s="306"/>
      <c r="V297" s="308"/>
      <c r="W297" s="248"/>
      <c r="X297" s="342"/>
      <c r="Y297" s="337"/>
      <c r="Z297" s="123"/>
      <c r="AA297" s="83"/>
      <c r="AB297" s="123"/>
      <c r="AC297" s="83"/>
      <c r="AD297" s="123"/>
      <c r="AE297" s="83"/>
      <c r="AF297" s="123"/>
      <c r="AG297" s="243"/>
      <c r="AH297" s="33"/>
      <c r="AI297" s="245"/>
      <c r="AJ297" s="125"/>
      <c r="AK297" s="92"/>
      <c r="AL297" s="126"/>
      <c r="AM297" s="91"/>
      <c r="AN297" s="91"/>
      <c r="AO297" s="197">
        <f t="shared" si="19"/>
        <v>0</v>
      </c>
      <c r="AP297" s="126"/>
      <c r="AQ297" s="217"/>
      <c r="AR297" s="200"/>
      <c r="AS297" s="263"/>
      <c r="AT297" s="94"/>
      <c r="AU297" s="84"/>
      <c r="AV297" s="80"/>
      <c r="AW297" s="81"/>
      <c r="AX297" s="77"/>
      <c r="AY297" s="107"/>
      <c r="AZ297" s="220">
        <f t="shared" si="16"/>
        <v>0</v>
      </c>
      <c r="BA297" s="220">
        <f t="shared" si="17"/>
        <v>0</v>
      </c>
    </row>
    <row r="298" spans="1:53" ht="50.1" customHeight="1" x14ac:dyDescent="0.25">
      <c r="A298" s="17">
        <f t="shared" si="18"/>
        <v>284</v>
      </c>
      <c r="B298" s="229"/>
      <c r="C298" s="222"/>
      <c r="D298" s="112"/>
      <c r="E298" s="128"/>
      <c r="F298" s="183"/>
      <c r="G298" s="130"/>
      <c r="H298" s="131"/>
      <c r="I298" s="132"/>
      <c r="J298" s="189"/>
      <c r="K298" s="133"/>
      <c r="L298" s="134"/>
      <c r="M298" s="334"/>
      <c r="N298" s="343"/>
      <c r="O298" s="192"/>
      <c r="P298" s="191"/>
      <c r="Q298" s="192"/>
      <c r="R298" s="191"/>
      <c r="S298" s="295"/>
      <c r="T298" s="301"/>
      <c r="U298" s="306"/>
      <c r="V298" s="308"/>
      <c r="W298" s="249"/>
      <c r="X298" s="344"/>
      <c r="Y298" s="337"/>
      <c r="Z298" s="33"/>
      <c r="AA298" s="83"/>
      <c r="AB298" s="33"/>
      <c r="AC298" s="83"/>
      <c r="AD298" s="33"/>
      <c r="AE298" s="83"/>
      <c r="AF298" s="33"/>
      <c r="AG298" s="244"/>
      <c r="AH298" s="83"/>
      <c r="AI298" s="246"/>
      <c r="AJ298" s="102"/>
      <c r="AK298" s="92"/>
      <c r="AL298" s="91"/>
      <c r="AM298" s="92"/>
      <c r="AN298" s="351"/>
      <c r="AO298" s="197">
        <f t="shared" si="19"/>
        <v>0</v>
      </c>
      <c r="AP298" s="91"/>
      <c r="AQ298" s="217"/>
      <c r="AR298" s="103"/>
      <c r="AS298" s="264"/>
      <c r="AT298" s="94"/>
      <c r="AU298" s="84"/>
      <c r="AV298" s="136"/>
      <c r="AW298" s="81"/>
      <c r="AX298" s="137"/>
      <c r="AY298" s="138"/>
      <c r="AZ298" s="220">
        <f t="shared" si="16"/>
        <v>0</v>
      </c>
      <c r="BA298" s="220">
        <f t="shared" si="17"/>
        <v>0</v>
      </c>
    </row>
    <row r="299" spans="1:53" ht="50.1" customHeight="1" x14ac:dyDescent="0.25">
      <c r="A299" s="17">
        <f t="shared" si="18"/>
        <v>285</v>
      </c>
      <c r="B299" s="228"/>
      <c r="C299" s="221"/>
      <c r="D299" s="88"/>
      <c r="E299" s="100"/>
      <c r="F299" s="95"/>
      <c r="G299" s="114"/>
      <c r="H299" s="96"/>
      <c r="I299" s="97"/>
      <c r="J299" s="98"/>
      <c r="K299" s="101"/>
      <c r="L299" s="124"/>
      <c r="M299" s="333"/>
      <c r="N299" s="341"/>
      <c r="O299" s="190"/>
      <c r="P299" s="191"/>
      <c r="Q299" s="190"/>
      <c r="R299" s="191"/>
      <c r="S299" s="294"/>
      <c r="T299" s="300"/>
      <c r="U299" s="306"/>
      <c r="V299" s="308"/>
      <c r="W299" s="248"/>
      <c r="X299" s="342"/>
      <c r="Y299" s="337"/>
      <c r="Z299" s="123"/>
      <c r="AA299" s="83"/>
      <c r="AB299" s="123"/>
      <c r="AC299" s="83"/>
      <c r="AD299" s="123"/>
      <c r="AE299" s="83"/>
      <c r="AF299" s="123"/>
      <c r="AG299" s="243"/>
      <c r="AH299" s="33"/>
      <c r="AI299" s="245"/>
      <c r="AJ299" s="198"/>
      <c r="AK299" s="92"/>
      <c r="AL299" s="126"/>
      <c r="AM299" s="91"/>
      <c r="AN299" s="91"/>
      <c r="AO299" s="197">
        <f t="shared" si="19"/>
        <v>0</v>
      </c>
      <c r="AP299" s="126"/>
      <c r="AQ299" s="217"/>
      <c r="AR299" s="201"/>
      <c r="AS299" s="266"/>
      <c r="AT299" s="94"/>
      <c r="AU299" s="84"/>
      <c r="AV299" s="80"/>
      <c r="AW299" s="81"/>
      <c r="AX299" s="77"/>
      <c r="AY299" s="107"/>
      <c r="AZ299" s="220">
        <f t="shared" si="16"/>
        <v>0</v>
      </c>
      <c r="BA299" s="220">
        <f t="shared" si="17"/>
        <v>0</v>
      </c>
    </row>
    <row r="300" spans="1:53" ht="50.1" customHeight="1" x14ac:dyDescent="0.25">
      <c r="A300" s="17">
        <f t="shared" si="18"/>
        <v>286</v>
      </c>
      <c r="B300" s="229"/>
      <c r="C300" s="222"/>
      <c r="D300" s="112"/>
      <c r="E300" s="128"/>
      <c r="F300" s="183"/>
      <c r="G300" s="130"/>
      <c r="H300" s="131"/>
      <c r="I300" s="132"/>
      <c r="J300" s="189"/>
      <c r="K300" s="133"/>
      <c r="L300" s="134"/>
      <c r="M300" s="334"/>
      <c r="N300" s="343"/>
      <c r="O300" s="192"/>
      <c r="P300" s="191"/>
      <c r="Q300" s="192"/>
      <c r="R300" s="191"/>
      <c r="S300" s="295"/>
      <c r="T300" s="301"/>
      <c r="U300" s="306"/>
      <c r="V300" s="308"/>
      <c r="W300" s="249"/>
      <c r="X300" s="344"/>
      <c r="Y300" s="337"/>
      <c r="Z300" s="33"/>
      <c r="AA300" s="83"/>
      <c r="AB300" s="33"/>
      <c r="AC300" s="83"/>
      <c r="AD300" s="33"/>
      <c r="AE300" s="83"/>
      <c r="AF300" s="33"/>
      <c r="AG300" s="244"/>
      <c r="AH300" s="83"/>
      <c r="AI300" s="246"/>
      <c r="AJ300" s="195"/>
      <c r="AK300" s="92"/>
      <c r="AL300" s="91"/>
      <c r="AM300" s="92"/>
      <c r="AN300" s="351"/>
      <c r="AO300" s="197">
        <f t="shared" si="19"/>
        <v>0</v>
      </c>
      <c r="AP300" s="91"/>
      <c r="AQ300" s="217"/>
      <c r="AR300" s="196"/>
      <c r="AS300" s="265"/>
      <c r="AT300" s="94"/>
      <c r="AU300" s="84"/>
      <c r="AV300" s="136"/>
      <c r="AW300" s="81"/>
      <c r="AX300" s="137"/>
      <c r="AY300" s="138"/>
      <c r="AZ300" s="220">
        <f t="shared" si="16"/>
        <v>0</v>
      </c>
      <c r="BA300" s="220">
        <f t="shared" si="17"/>
        <v>0</v>
      </c>
    </row>
    <row r="301" spans="1:53" ht="50.1" customHeight="1" x14ac:dyDescent="0.25">
      <c r="A301" s="17">
        <f t="shared" si="18"/>
        <v>287</v>
      </c>
      <c r="B301" s="228"/>
      <c r="C301" s="221"/>
      <c r="D301" s="88"/>
      <c r="E301" s="100"/>
      <c r="F301" s="95"/>
      <c r="G301" s="114"/>
      <c r="H301" s="96"/>
      <c r="I301" s="97"/>
      <c r="J301" s="98"/>
      <c r="K301" s="101"/>
      <c r="L301" s="124"/>
      <c r="M301" s="333"/>
      <c r="N301" s="341"/>
      <c r="O301" s="190"/>
      <c r="P301" s="191"/>
      <c r="Q301" s="190"/>
      <c r="R301" s="191"/>
      <c r="S301" s="294"/>
      <c r="T301" s="300"/>
      <c r="U301" s="306"/>
      <c r="V301" s="308"/>
      <c r="W301" s="248"/>
      <c r="X301" s="342"/>
      <c r="Y301" s="337"/>
      <c r="Z301" s="123"/>
      <c r="AA301" s="83"/>
      <c r="AB301" s="123"/>
      <c r="AC301" s="83"/>
      <c r="AD301" s="123"/>
      <c r="AE301" s="83"/>
      <c r="AF301" s="123"/>
      <c r="AG301" s="243"/>
      <c r="AH301" s="33"/>
      <c r="AI301" s="245"/>
      <c r="AJ301" s="198"/>
      <c r="AK301" s="92"/>
      <c r="AL301" s="126"/>
      <c r="AM301" s="91"/>
      <c r="AN301" s="91"/>
      <c r="AO301" s="197">
        <f t="shared" si="19"/>
        <v>0</v>
      </c>
      <c r="AP301" s="126"/>
      <c r="AQ301" s="217"/>
      <c r="AR301" s="201"/>
      <c r="AS301" s="266"/>
      <c r="AT301" s="94"/>
      <c r="AU301" s="84"/>
      <c r="AV301" s="80"/>
      <c r="AW301" s="81"/>
      <c r="AX301" s="77"/>
      <c r="AY301" s="107"/>
      <c r="AZ301" s="220">
        <f t="shared" si="16"/>
        <v>0</v>
      </c>
      <c r="BA301" s="220">
        <f t="shared" si="17"/>
        <v>0</v>
      </c>
    </row>
    <row r="302" spans="1:53" ht="50.1" customHeight="1" x14ac:dyDescent="0.25">
      <c r="A302" s="17">
        <f t="shared" si="18"/>
        <v>288</v>
      </c>
      <c r="B302" s="229"/>
      <c r="C302" s="222"/>
      <c r="D302" s="112"/>
      <c r="E302" s="128"/>
      <c r="F302" s="183"/>
      <c r="G302" s="130"/>
      <c r="H302" s="131"/>
      <c r="I302" s="132"/>
      <c r="J302" s="189"/>
      <c r="K302" s="133"/>
      <c r="L302" s="134"/>
      <c r="M302" s="334"/>
      <c r="N302" s="343"/>
      <c r="O302" s="193"/>
      <c r="P302" s="191"/>
      <c r="Q302" s="193"/>
      <c r="R302" s="191"/>
      <c r="S302" s="296"/>
      <c r="T302" s="302"/>
      <c r="U302" s="306"/>
      <c r="V302" s="308"/>
      <c r="W302" s="249"/>
      <c r="X302" s="344"/>
      <c r="Y302" s="337"/>
      <c r="Z302" s="33"/>
      <c r="AA302" s="83"/>
      <c r="AB302" s="33"/>
      <c r="AC302" s="83"/>
      <c r="AD302" s="33"/>
      <c r="AE302" s="83"/>
      <c r="AF302" s="33"/>
      <c r="AG302" s="244"/>
      <c r="AH302" s="83"/>
      <c r="AI302" s="246"/>
      <c r="AJ302" s="102"/>
      <c r="AK302" s="92"/>
      <c r="AL302" s="91"/>
      <c r="AM302" s="92"/>
      <c r="AN302" s="351"/>
      <c r="AO302" s="197">
        <f t="shared" si="19"/>
        <v>0</v>
      </c>
      <c r="AP302" s="91"/>
      <c r="AQ302" s="217"/>
      <c r="AR302" s="196"/>
      <c r="AS302" s="265"/>
      <c r="AT302" s="94"/>
      <c r="AU302" s="84"/>
      <c r="AV302" s="136"/>
      <c r="AW302" s="81"/>
      <c r="AX302" s="137"/>
      <c r="AY302" s="138"/>
      <c r="AZ302" s="220">
        <f t="shared" si="16"/>
        <v>0</v>
      </c>
      <c r="BA302" s="220">
        <f t="shared" si="17"/>
        <v>0</v>
      </c>
    </row>
    <row r="303" spans="1:53" ht="50.1" customHeight="1" x14ac:dyDescent="0.25">
      <c r="A303" s="17">
        <f t="shared" si="18"/>
        <v>289</v>
      </c>
      <c r="B303" s="228"/>
      <c r="C303" s="221"/>
      <c r="D303" s="88"/>
      <c r="E303" s="100"/>
      <c r="F303" s="95"/>
      <c r="G303" s="114"/>
      <c r="H303" s="96"/>
      <c r="I303" s="97"/>
      <c r="J303" s="98"/>
      <c r="K303" s="101"/>
      <c r="L303" s="124"/>
      <c r="M303" s="333"/>
      <c r="N303" s="341"/>
      <c r="O303" s="190"/>
      <c r="P303" s="191"/>
      <c r="Q303" s="190"/>
      <c r="R303" s="191"/>
      <c r="S303" s="294"/>
      <c r="T303" s="300"/>
      <c r="U303" s="306"/>
      <c r="V303" s="308"/>
      <c r="W303" s="248"/>
      <c r="X303" s="342"/>
      <c r="Y303" s="337"/>
      <c r="Z303" s="123"/>
      <c r="AA303" s="83"/>
      <c r="AB303" s="123"/>
      <c r="AC303" s="83"/>
      <c r="AD303" s="123"/>
      <c r="AE303" s="83"/>
      <c r="AF303" s="123"/>
      <c r="AG303" s="243"/>
      <c r="AH303" s="33"/>
      <c r="AI303" s="245"/>
      <c r="AJ303" s="125"/>
      <c r="AK303" s="92"/>
      <c r="AL303" s="126"/>
      <c r="AM303" s="91"/>
      <c r="AN303" s="91"/>
      <c r="AO303" s="197">
        <f t="shared" si="19"/>
        <v>0</v>
      </c>
      <c r="AP303" s="126"/>
      <c r="AQ303" s="217"/>
      <c r="AR303" s="201"/>
      <c r="AS303" s="266"/>
      <c r="AT303" s="94"/>
      <c r="AU303" s="84"/>
      <c r="AV303" s="80"/>
      <c r="AW303" s="81"/>
      <c r="AX303" s="77"/>
      <c r="AY303" s="107"/>
      <c r="AZ303" s="220">
        <f t="shared" si="16"/>
        <v>0</v>
      </c>
      <c r="BA303" s="220">
        <f t="shared" si="17"/>
        <v>0</v>
      </c>
    </row>
    <row r="304" spans="1:53" ht="50.1" customHeight="1" x14ac:dyDescent="0.25">
      <c r="A304" s="17">
        <f t="shared" si="18"/>
        <v>290</v>
      </c>
      <c r="B304" s="229"/>
      <c r="C304" s="222"/>
      <c r="D304" s="112"/>
      <c r="E304" s="128"/>
      <c r="F304" s="183"/>
      <c r="G304" s="130"/>
      <c r="H304" s="131"/>
      <c r="I304" s="132"/>
      <c r="J304" s="189"/>
      <c r="K304" s="133"/>
      <c r="L304" s="134"/>
      <c r="M304" s="334"/>
      <c r="N304" s="343"/>
      <c r="O304" s="193"/>
      <c r="P304" s="191"/>
      <c r="Q304" s="193"/>
      <c r="R304" s="191"/>
      <c r="S304" s="296"/>
      <c r="T304" s="302"/>
      <c r="U304" s="306"/>
      <c r="V304" s="308"/>
      <c r="W304" s="249"/>
      <c r="X304" s="344"/>
      <c r="Y304" s="337"/>
      <c r="Z304" s="33"/>
      <c r="AA304" s="83"/>
      <c r="AB304" s="33"/>
      <c r="AC304" s="83"/>
      <c r="AD304" s="33"/>
      <c r="AE304" s="83"/>
      <c r="AF304" s="33"/>
      <c r="AG304" s="244"/>
      <c r="AH304" s="83"/>
      <c r="AI304" s="246"/>
      <c r="AJ304" s="102"/>
      <c r="AK304" s="92"/>
      <c r="AL304" s="91"/>
      <c r="AM304" s="92"/>
      <c r="AN304" s="351"/>
      <c r="AO304" s="197">
        <f t="shared" si="19"/>
        <v>0</v>
      </c>
      <c r="AP304" s="91"/>
      <c r="AQ304" s="217"/>
      <c r="AR304" s="196"/>
      <c r="AS304" s="265"/>
      <c r="AT304" s="94"/>
      <c r="AU304" s="84"/>
      <c r="AV304" s="136"/>
      <c r="AW304" s="81"/>
      <c r="AX304" s="137"/>
      <c r="AY304" s="138"/>
      <c r="AZ304" s="220">
        <f t="shared" si="16"/>
        <v>0</v>
      </c>
      <c r="BA304" s="220">
        <f t="shared" si="17"/>
        <v>0</v>
      </c>
    </row>
    <row r="305" spans="1:53" ht="50.1" customHeight="1" x14ac:dyDescent="0.25">
      <c r="A305" s="17">
        <f t="shared" si="18"/>
        <v>291</v>
      </c>
      <c r="B305" s="228"/>
      <c r="C305" s="221"/>
      <c r="D305" s="88"/>
      <c r="E305" s="100"/>
      <c r="F305" s="95"/>
      <c r="G305" s="114"/>
      <c r="H305" s="96"/>
      <c r="I305" s="97"/>
      <c r="J305" s="98"/>
      <c r="K305" s="101"/>
      <c r="L305" s="124"/>
      <c r="M305" s="333"/>
      <c r="N305" s="346"/>
      <c r="O305" s="190"/>
      <c r="P305" s="191"/>
      <c r="Q305" s="190"/>
      <c r="R305" s="191"/>
      <c r="S305" s="294"/>
      <c r="T305" s="300"/>
      <c r="U305" s="306"/>
      <c r="V305" s="308"/>
      <c r="W305" s="248"/>
      <c r="X305" s="342"/>
      <c r="Y305" s="337"/>
      <c r="Z305" s="123"/>
      <c r="AA305" s="83"/>
      <c r="AB305" s="123"/>
      <c r="AC305" s="83"/>
      <c r="AD305" s="123"/>
      <c r="AE305" s="83"/>
      <c r="AF305" s="123"/>
      <c r="AG305" s="243"/>
      <c r="AH305" s="33"/>
      <c r="AI305" s="245"/>
      <c r="AJ305" s="125"/>
      <c r="AK305" s="92"/>
      <c r="AL305" s="126"/>
      <c r="AM305" s="91"/>
      <c r="AN305" s="91"/>
      <c r="AO305" s="197">
        <f t="shared" si="19"/>
        <v>0</v>
      </c>
      <c r="AP305" s="126"/>
      <c r="AQ305" s="217"/>
      <c r="AR305" s="201"/>
      <c r="AS305" s="266"/>
      <c r="AT305" s="94"/>
      <c r="AU305" s="84"/>
      <c r="AV305" s="80"/>
      <c r="AW305" s="81"/>
      <c r="AX305" s="77"/>
      <c r="AY305" s="107"/>
      <c r="AZ305" s="220">
        <f t="shared" si="16"/>
        <v>0</v>
      </c>
      <c r="BA305" s="220">
        <f t="shared" si="17"/>
        <v>0</v>
      </c>
    </row>
    <row r="306" spans="1:53" ht="50.1" customHeight="1" x14ac:dyDescent="0.25">
      <c r="A306" s="17">
        <f t="shared" si="18"/>
        <v>292</v>
      </c>
      <c r="B306" s="229"/>
      <c r="C306" s="222"/>
      <c r="D306" s="112"/>
      <c r="E306" s="128"/>
      <c r="F306" s="183"/>
      <c r="G306" s="130"/>
      <c r="H306" s="131"/>
      <c r="I306" s="132"/>
      <c r="J306" s="189"/>
      <c r="K306" s="133"/>
      <c r="L306" s="134"/>
      <c r="M306" s="334"/>
      <c r="N306" s="343"/>
      <c r="O306" s="193"/>
      <c r="P306" s="191"/>
      <c r="Q306" s="193"/>
      <c r="R306" s="191"/>
      <c r="S306" s="296"/>
      <c r="T306" s="302"/>
      <c r="U306" s="306"/>
      <c r="V306" s="308"/>
      <c r="W306" s="249"/>
      <c r="X306" s="344"/>
      <c r="Y306" s="337"/>
      <c r="Z306" s="33"/>
      <c r="AA306" s="83"/>
      <c r="AB306" s="33"/>
      <c r="AC306" s="83"/>
      <c r="AD306" s="33"/>
      <c r="AE306" s="83"/>
      <c r="AF306" s="33"/>
      <c r="AG306" s="244"/>
      <c r="AH306" s="83"/>
      <c r="AI306" s="246"/>
      <c r="AJ306" s="102"/>
      <c r="AK306" s="92"/>
      <c r="AL306" s="91"/>
      <c r="AM306" s="92"/>
      <c r="AN306" s="351"/>
      <c r="AO306" s="197">
        <f t="shared" si="19"/>
        <v>0</v>
      </c>
      <c r="AP306" s="91"/>
      <c r="AQ306" s="217"/>
      <c r="AR306" s="196"/>
      <c r="AS306" s="265"/>
      <c r="AT306" s="94"/>
      <c r="AU306" s="84"/>
      <c r="AV306" s="136"/>
      <c r="AW306" s="81"/>
      <c r="AX306" s="137"/>
      <c r="AY306" s="138"/>
      <c r="AZ306" s="220">
        <f t="shared" si="16"/>
        <v>0</v>
      </c>
      <c r="BA306" s="220">
        <f t="shared" si="17"/>
        <v>0</v>
      </c>
    </row>
    <row r="307" spans="1:53" ht="50.1" customHeight="1" x14ac:dyDescent="0.25">
      <c r="A307" s="17">
        <f t="shared" si="18"/>
        <v>293</v>
      </c>
      <c r="B307" s="228"/>
      <c r="C307" s="221"/>
      <c r="D307" s="88"/>
      <c r="E307" s="100"/>
      <c r="F307" s="95"/>
      <c r="G307" s="114"/>
      <c r="H307" s="96"/>
      <c r="I307" s="97"/>
      <c r="J307" s="98"/>
      <c r="K307" s="101"/>
      <c r="L307" s="124"/>
      <c r="M307" s="333"/>
      <c r="N307" s="341"/>
      <c r="O307" s="190"/>
      <c r="P307" s="191"/>
      <c r="Q307" s="190"/>
      <c r="R307" s="191"/>
      <c r="S307" s="294"/>
      <c r="T307" s="300"/>
      <c r="U307" s="306"/>
      <c r="V307" s="308"/>
      <c r="W307" s="248"/>
      <c r="X307" s="342"/>
      <c r="Y307" s="337"/>
      <c r="Z307" s="123"/>
      <c r="AA307" s="83"/>
      <c r="AB307" s="123"/>
      <c r="AC307" s="83"/>
      <c r="AD307" s="123"/>
      <c r="AE307" s="83"/>
      <c r="AF307" s="123"/>
      <c r="AG307" s="243"/>
      <c r="AH307" s="33"/>
      <c r="AI307" s="245"/>
      <c r="AJ307" s="125"/>
      <c r="AK307" s="92"/>
      <c r="AL307" s="126"/>
      <c r="AM307" s="91"/>
      <c r="AN307" s="91"/>
      <c r="AO307" s="197">
        <f t="shared" si="19"/>
        <v>0</v>
      </c>
      <c r="AP307" s="126"/>
      <c r="AQ307" s="217"/>
      <c r="AR307" s="201"/>
      <c r="AS307" s="266"/>
      <c r="AT307" s="94"/>
      <c r="AU307" s="84"/>
      <c r="AV307" s="80"/>
      <c r="AW307" s="81"/>
      <c r="AX307" s="77"/>
      <c r="AY307" s="107"/>
      <c r="AZ307" s="220">
        <f t="shared" si="16"/>
        <v>0</v>
      </c>
      <c r="BA307" s="220">
        <f t="shared" si="17"/>
        <v>0</v>
      </c>
    </row>
    <row r="308" spans="1:53" ht="50.1" customHeight="1" x14ac:dyDescent="0.25">
      <c r="A308" s="17">
        <f t="shared" si="18"/>
        <v>294</v>
      </c>
      <c r="B308" s="229"/>
      <c r="C308" s="222"/>
      <c r="D308" s="112"/>
      <c r="E308" s="128"/>
      <c r="F308" s="183"/>
      <c r="G308" s="130"/>
      <c r="H308" s="131"/>
      <c r="I308" s="132"/>
      <c r="J308" s="189"/>
      <c r="K308" s="133"/>
      <c r="L308" s="134"/>
      <c r="M308" s="334"/>
      <c r="N308" s="343"/>
      <c r="O308" s="193"/>
      <c r="P308" s="191"/>
      <c r="Q308" s="193"/>
      <c r="R308" s="191"/>
      <c r="S308" s="296"/>
      <c r="T308" s="302"/>
      <c r="U308" s="306"/>
      <c r="V308" s="308"/>
      <c r="W308" s="249"/>
      <c r="X308" s="344"/>
      <c r="Y308" s="337"/>
      <c r="Z308" s="33"/>
      <c r="AA308" s="83"/>
      <c r="AB308" s="33"/>
      <c r="AC308" s="83"/>
      <c r="AD308" s="33"/>
      <c r="AE308" s="83"/>
      <c r="AF308" s="33"/>
      <c r="AG308" s="244"/>
      <c r="AH308" s="83"/>
      <c r="AI308" s="246"/>
      <c r="AJ308" s="102"/>
      <c r="AK308" s="92"/>
      <c r="AL308" s="91"/>
      <c r="AM308" s="92"/>
      <c r="AN308" s="351"/>
      <c r="AO308" s="197">
        <f t="shared" si="19"/>
        <v>0</v>
      </c>
      <c r="AP308" s="91"/>
      <c r="AQ308" s="217"/>
      <c r="AR308" s="196"/>
      <c r="AS308" s="265"/>
      <c r="AT308" s="94"/>
      <c r="AU308" s="84"/>
      <c r="AV308" s="136"/>
      <c r="AW308" s="81"/>
      <c r="AX308" s="137"/>
      <c r="AY308" s="138"/>
      <c r="AZ308" s="220">
        <f t="shared" si="16"/>
        <v>0</v>
      </c>
      <c r="BA308" s="220">
        <f t="shared" si="17"/>
        <v>0</v>
      </c>
    </row>
    <row r="309" spans="1:53" ht="50.1" customHeight="1" x14ac:dyDescent="0.25">
      <c r="A309" s="17">
        <f t="shared" si="18"/>
        <v>295</v>
      </c>
      <c r="B309" s="228"/>
      <c r="C309" s="221"/>
      <c r="D309" s="88"/>
      <c r="E309" s="100"/>
      <c r="F309" s="95"/>
      <c r="G309" s="114"/>
      <c r="H309" s="96"/>
      <c r="I309" s="97"/>
      <c r="J309" s="98"/>
      <c r="K309" s="101"/>
      <c r="L309" s="124"/>
      <c r="M309" s="333"/>
      <c r="N309" s="341"/>
      <c r="O309" s="190"/>
      <c r="P309" s="191"/>
      <c r="Q309" s="190"/>
      <c r="R309" s="191"/>
      <c r="S309" s="294"/>
      <c r="T309" s="300"/>
      <c r="U309" s="306"/>
      <c r="V309" s="308"/>
      <c r="W309" s="248"/>
      <c r="X309" s="342"/>
      <c r="Y309" s="337"/>
      <c r="Z309" s="123"/>
      <c r="AA309" s="83"/>
      <c r="AB309" s="123"/>
      <c r="AC309" s="83"/>
      <c r="AD309" s="123"/>
      <c r="AE309" s="83"/>
      <c r="AF309" s="123"/>
      <c r="AG309" s="243"/>
      <c r="AH309" s="33"/>
      <c r="AI309" s="245"/>
      <c r="AJ309" s="125"/>
      <c r="AK309" s="92"/>
      <c r="AL309" s="126"/>
      <c r="AM309" s="91"/>
      <c r="AN309" s="91"/>
      <c r="AO309" s="197">
        <f t="shared" si="19"/>
        <v>0</v>
      </c>
      <c r="AP309" s="126"/>
      <c r="AQ309" s="217"/>
      <c r="AR309" s="201"/>
      <c r="AS309" s="266"/>
      <c r="AT309" s="94"/>
      <c r="AU309" s="84"/>
      <c r="AV309" s="80"/>
      <c r="AW309" s="81"/>
      <c r="AX309" s="77"/>
      <c r="AY309" s="107"/>
      <c r="AZ309" s="220">
        <f t="shared" si="16"/>
        <v>0</v>
      </c>
      <c r="BA309" s="220">
        <f t="shared" si="17"/>
        <v>0</v>
      </c>
    </row>
    <row r="310" spans="1:53" ht="50.1" customHeight="1" x14ac:dyDescent="0.25">
      <c r="A310" s="17">
        <f t="shared" si="18"/>
        <v>296</v>
      </c>
      <c r="B310" s="229"/>
      <c r="C310" s="222"/>
      <c r="D310" s="112"/>
      <c r="E310" s="128"/>
      <c r="F310" s="183"/>
      <c r="G310" s="130"/>
      <c r="H310" s="131"/>
      <c r="I310" s="132"/>
      <c r="J310" s="189"/>
      <c r="K310" s="133"/>
      <c r="L310" s="134"/>
      <c r="M310" s="334"/>
      <c r="N310" s="343"/>
      <c r="O310" s="193"/>
      <c r="P310" s="191"/>
      <c r="Q310" s="193"/>
      <c r="R310" s="191"/>
      <c r="S310" s="296"/>
      <c r="T310" s="302"/>
      <c r="U310" s="306"/>
      <c r="V310" s="308"/>
      <c r="W310" s="249"/>
      <c r="X310" s="344"/>
      <c r="Y310" s="337"/>
      <c r="Z310" s="33"/>
      <c r="AA310" s="83"/>
      <c r="AB310" s="33"/>
      <c r="AC310" s="83"/>
      <c r="AD310" s="33"/>
      <c r="AE310" s="83"/>
      <c r="AF310" s="33"/>
      <c r="AG310" s="244"/>
      <c r="AH310" s="83"/>
      <c r="AI310" s="246"/>
      <c r="AJ310" s="102"/>
      <c r="AK310" s="92"/>
      <c r="AL310" s="91"/>
      <c r="AM310" s="92"/>
      <c r="AN310" s="351"/>
      <c r="AO310" s="197">
        <f t="shared" si="19"/>
        <v>0</v>
      </c>
      <c r="AP310" s="91"/>
      <c r="AQ310" s="217"/>
      <c r="AR310" s="196"/>
      <c r="AS310" s="265"/>
      <c r="AT310" s="94"/>
      <c r="AU310" s="84"/>
      <c r="AV310" s="136"/>
      <c r="AW310" s="81"/>
      <c r="AX310" s="137"/>
      <c r="AY310" s="138"/>
      <c r="AZ310" s="220">
        <f t="shared" si="16"/>
        <v>0</v>
      </c>
      <c r="BA310" s="220">
        <f t="shared" si="17"/>
        <v>0</v>
      </c>
    </row>
    <row r="311" spans="1:53" ht="50.1" customHeight="1" x14ac:dyDescent="0.25">
      <c r="A311" s="17">
        <f t="shared" si="18"/>
        <v>297</v>
      </c>
      <c r="B311" s="228"/>
      <c r="C311" s="221"/>
      <c r="D311" s="88"/>
      <c r="E311" s="100"/>
      <c r="F311" s="95"/>
      <c r="G311" s="114"/>
      <c r="H311" s="96"/>
      <c r="I311" s="97"/>
      <c r="J311" s="98"/>
      <c r="K311" s="101"/>
      <c r="L311" s="124"/>
      <c r="M311" s="333"/>
      <c r="N311" s="341"/>
      <c r="O311" s="190"/>
      <c r="P311" s="191"/>
      <c r="Q311" s="190"/>
      <c r="R311" s="191"/>
      <c r="S311" s="294"/>
      <c r="T311" s="300"/>
      <c r="U311" s="306"/>
      <c r="V311" s="308"/>
      <c r="W311" s="248"/>
      <c r="X311" s="342"/>
      <c r="Y311" s="337"/>
      <c r="Z311" s="123"/>
      <c r="AA311" s="83"/>
      <c r="AB311" s="123"/>
      <c r="AC311" s="83"/>
      <c r="AD311" s="123"/>
      <c r="AE311" s="83"/>
      <c r="AF311" s="123"/>
      <c r="AG311" s="243"/>
      <c r="AH311" s="33"/>
      <c r="AI311" s="245"/>
      <c r="AJ311" s="125"/>
      <c r="AK311" s="92"/>
      <c r="AL311" s="126"/>
      <c r="AM311" s="91"/>
      <c r="AN311" s="91"/>
      <c r="AO311" s="197">
        <f t="shared" si="19"/>
        <v>0</v>
      </c>
      <c r="AP311" s="126"/>
      <c r="AQ311" s="217"/>
      <c r="AR311" s="201"/>
      <c r="AS311" s="266"/>
      <c r="AT311" s="94"/>
      <c r="AU311" s="84"/>
      <c r="AV311" s="80"/>
      <c r="AW311" s="81"/>
      <c r="AX311" s="77"/>
      <c r="AY311" s="107"/>
      <c r="AZ311" s="220">
        <f t="shared" si="16"/>
        <v>0</v>
      </c>
      <c r="BA311" s="220">
        <f t="shared" si="17"/>
        <v>0</v>
      </c>
    </row>
    <row r="312" spans="1:53" ht="50.1" customHeight="1" x14ac:dyDescent="0.25">
      <c r="A312" s="17">
        <f t="shared" si="18"/>
        <v>298</v>
      </c>
      <c r="B312" s="229"/>
      <c r="C312" s="222"/>
      <c r="D312" s="112"/>
      <c r="E312" s="128"/>
      <c r="F312" s="183"/>
      <c r="G312" s="130"/>
      <c r="H312" s="131"/>
      <c r="I312" s="132"/>
      <c r="J312" s="189"/>
      <c r="K312" s="133"/>
      <c r="L312" s="134"/>
      <c r="M312" s="334"/>
      <c r="N312" s="343"/>
      <c r="O312" s="193"/>
      <c r="P312" s="191"/>
      <c r="Q312" s="193"/>
      <c r="R312" s="191"/>
      <c r="S312" s="296"/>
      <c r="T312" s="302"/>
      <c r="U312" s="306"/>
      <c r="V312" s="308"/>
      <c r="W312" s="249"/>
      <c r="X312" s="344"/>
      <c r="Y312" s="337"/>
      <c r="Z312" s="33"/>
      <c r="AA312" s="83"/>
      <c r="AB312" s="33"/>
      <c r="AC312" s="83"/>
      <c r="AD312" s="33"/>
      <c r="AE312" s="83"/>
      <c r="AF312" s="33"/>
      <c r="AG312" s="244"/>
      <c r="AH312" s="83"/>
      <c r="AI312" s="246"/>
      <c r="AJ312" s="102"/>
      <c r="AK312" s="92"/>
      <c r="AL312" s="91"/>
      <c r="AM312" s="92"/>
      <c r="AN312" s="351"/>
      <c r="AO312" s="197">
        <f t="shared" si="19"/>
        <v>0</v>
      </c>
      <c r="AP312" s="91"/>
      <c r="AQ312" s="217"/>
      <c r="AR312" s="196"/>
      <c r="AS312" s="265"/>
      <c r="AT312" s="94"/>
      <c r="AU312" s="84"/>
      <c r="AV312" s="136"/>
      <c r="AW312" s="81"/>
      <c r="AX312" s="137"/>
      <c r="AY312" s="138"/>
      <c r="AZ312" s="220">
        <f t="shared" si="16"/>
        <v>0</v>
      </c>
      <c r="BA312" s="220">
        <f t="shared" si="17"/>
        <v>0</v>
      </c>
    </row>
    <row r="313" spans="1:53" ht="50.1" customHeight="1" x14ac:dyDescent="0.25">
      <c r="A313" s="17">
        <f t="shared" si="18"/>
        <v>299</v>
      </c>
      <c r="B313" s="228"/>
      <c r="C313" s="221"/>
      <c r="D313" s="88"/>
      <c r="E313" s="100"/>
      <c r="F313" s="95"/>
      <c r="G313" s="114"/>
      <c r="H313" s="96"/>
      <c r="I313" s="97"/>
      <c r="J313" s="98"/>
      <c r="K313" s="101"/>
      <c r="L313" s="124"/>
      <c r="M313" s="333"/>
      <c r="N313" s="341"/>
      <c r="O313" s="190"/>
      <c r="P313" s="191"/>
      <c r="Q313" s="190"/>
      <c r="R313" s="191"/>
      <c r="S313" s="294"/>
      <c r="T313" s="300"/>
      <c r="U313" s="306"/>
      <c r="V313" s="308"/>
      <c r="W313" s="248"/>
      <c r="X313" s="342"/>
      <c r="Y313" s="337"/>
      <c r="Z313" s="123"/>
      <c r="AA313" s="83"/>
      <c r="AB313" s="123"/>
      <c r="AC313" s="83"/>
      <c r="AD313" s="123"/>
      <c r="AE313" s="83"/>
      <c r="AF313" s="123"/>
      <c r="AG313" s="243"/>
      <c r="AH313" s="33"/>
      <c r="AI313" s="245"/>
      <c r="AJ313" s="125"/>
      <c r="AK313" s="92"/>
      <c r="AL313" s="126"/>
      <c r="AM313" s="91"/>
      <c r="AN313" s="91"/>
      <c r="AO313" s="197">
        <f t="shared" si="19"/>
        <v>0</v>
      </c>
      <c r="AP313" s="126"/>
      <c r="AQ313" s="217"/>
      <c r="AR313" s="201"/>
      <c r="AS313" s="266"/>
      <c r="AT313" s="94"/>
      <c r="AU313" s="84"/>
      <c r="AV313" s="80"/>
      <c r="AW313" s="81"/>
      <c r="AX313" s="77"/>
      <c r="AY313" s="107"/>
      <c r="AZ313" s="220">
        <f t="shared" si="16"/>
        <v>0</v>
      </c>
      <c r="BA313" s="220">
        <f t="shared" si="17"/>
        <v>0</v>
      </c>
    </row>
    <row r="314" spans="1:53" ht="50.1" customHeight="1" x14ac:dyDescent="0.25">
      <c r="A314" s="17">
        <f t="shared" si="18"/>
        <v>300</v>
      </c>
      <c r="B314" s="229"/>
      <c r="C314" s="222"/>
      <c r="D314" s="112"/>
      <c r="E314" s="128"/>
      <c r="F314" s="183"/>
      <c r="G314" s="130"/>
      <c r="H314" s="131"/>
      <c r="I314" s="132"/>
      <c r="J314" s="189"/>
      <c r="K314" s="133"/>
      <c r="L314" s="134"/>
      <c r="M314" s="334"/>
      <c r="N314" s="343"/>
      <c r="O314" s="193"/>
      <c r="P314" s="191"/>
      <c r="Q314" s="193"/>
      <c r="R314" s="191"/>
      <c r="S314" s="296"/>
      <c r="T314" s="302"/>
      <c r="U314" s="306"/>
      <c r="V314" s="308"/>
      <c r="W314" s="249"/>
      <c r="X314" s="344"/>
      <c r="Y314" s="337"/>
      <c r="Z314" s="33"/>
      <c r="AA314" s="83"/>
      <c r="AB314" s="33"/>
      <c r="AC314" s="83"/>
      <c r="AD314" s="33"/>
      <c r="AE314" s="83"/>
      <c r="AF314" s="33"/>
      <c r="AG314" s="244"/>
      <c r="AH314" s="83"/>
      <c r="AI314" s="246"/>
      <c r="AJ314" s="102"/>
      <c r="AK314" s="92"/>
      <c r="AL314" s="91"/>
      <c r="AM314" s="92"/>
      <c r="AN314" s="351"/>
      <c r="AO314" s="197">
        <f t="shared" si="19"/>
        <v>0</v>
      </c>
      <c r="AP314" s="91"/>
      <c r="AQ314" s="217"/>
      <c r="AR314" s="196"/>
      <c r="AS314" s="265"/>
      <c r="AT314" s="94"/>
      <c r="AU314" s="84"/>
      <c r="AV314" s="136"/>
      <c r="AW314" s="81"/>
      <c r="AX314" s="137"/>
      <c r="AY314" s="138"/>
      <c r="AZ314" s="220">
        <f t="shared" si="16"/>
        <v>0</v>
      </c>
      <c r="BA314" s="220">
        <f t="shared" si="17"/>
        <v>0</v>
      </c>
    </row>
    <row r="315" spans="1:53" ht="50.1" customHeight="1" x14ac:dyDescent="0.25">
      <c r="A315" s="17">
        <f t="shared" si="18"/>
        <v>301</v>
      </c>
      <c r="B315" s="228"/>
      <c r="C315" s="221"/>
      <c r="D315" s="88"/>
      <c r="E315" s="100"/>
      <c r="F315" s="95"/>
      <c r="G315" s="114"/>
      <c r="H315" s="96"/>
      <c r="I315" s="97"/>
      <c r="J315" s="98"/>
      <c r="K315" s="101"/>
      <c r="L315" s="124"/>
      <c r="M315" s="333"/>
      <c r="N315" s="341"/>
      <c r="O315" s="190"/>
      <c r="P315" s="191"/>
      <c r="Q315" s="190"/>
      <c r="R315" s="191"/>
      <c r="S315" s="294"/>
      <c r="T315" s="300"/>
      <c r="U315" s="306"/>
      <c r="V315" s="308"/>
      <c r="W315" s="248"/>
      <c r="X315" s="342"/>
      <c r="Y315" s="337"/>
      <c r="Z315" s="123"/>
      <c r="AA315" s="83"/>
      <c r="AB315" s="123"/>
      <c r="AC315" s="83"/>
      <c r="AD315" s="123"/>
      <c r="AE315" s="83"/>
      <c r="AF315" s="123"/>
      <c r="AG315" s="243"/>
      <c r="AH315" s="33"/>
      <c r="AI315" s="245"/>
      <c r="AJ315" s="125"/>
      <c r="AK315" s="92"/>
      <c r="AL315" s="126"/>
      <c r="AM315" s="91"/>
      <c r="AN315" s="91"/>
      <c r="AO315" s="197">
        <f t="shared" si="19"/>
        <v>0</v>
      </c>
      <c r="AP315" s="126"/>
      <c r="AQ315" s="217"/>
      <c r="AR315" s="201"/>
      <c r="AS315" s="266"/>
      <c r="AT315" s="94"/>
      <c r="AU315" s="84"/>
      <c r="AV315" s="80"/>
      <c r="AW315" s="81"/>
      <c r="AX315" s="77"/>
      <c r="AY315" s="107"/>
      <c r="AZ315" s="220">
        <f t="shared" si="16"/>
        <v>0</v>
      </c>
      <c r="BA315" s="220">
        <f t="shared" si="17"/>
        <v>0</v>
      </c>
    </row>
    <row r="316" spans="1:53" ht="50.1" customHeight="1" x14ac:dyDescent="0.25">
      <c r="A316" s="17">
        <f t="shared" si="18"/>
        <v>302</v>
      </c>
      <c r="B316" s="229"/>
      <c r="C316" s="222"/>
      <c r="D316" s="112"/>
      <c r="E316" s="128"/>
      <c r="F316" s="183"/>
      <c r="G316" s="130"/>
      <c r="H316" s="131"/>
      <c r="I316" s="132"/>
      <c r="J316" s="189"/>
      <c r="K316" s="133"/>
      <c r="L316" s="134"/>
      <c r="M316" s="334"/>
      <c r="N316" s="343"/>
      <c r="O316" s="193"/>
      <c r="P316" s="191"/>
      <c r="Q316" s="193"/>
      <c r="R316" s="191"/>
      <c r="S316" s="296"/>
      <c r="T316" s="302"/>
      <c r="U316" s="306"/>
      <c r="V316" s="308"/>
      <c r="W316" s="249"/>
      <c r="X316" s="345"/>
      <c r="Y316" s="337"/>
      <c r="Z316" s="33"/>
      <c r="AA316" s="83"/>
      <c r="AB316" s="33"/>
      <c r="AC316" s="83"/>
      <c r="AD316" s="33"/>
      <c r="AE316" s="83"/>
      <c r="AF316" s="33"/>
      <c r="AG316" s="244"/>
      <c r="AH316" s="83"/>
      <c r="AI316" s="246"/>
      <c r="AJ316" s="195"/>
      <c r="AK316" s="92"/>
      <c r="AL316" s="91"/>
      <c r="AM316" s="92"/>
      <c r="AN316" s="351"/>
      <c r="AO316" s="197">
        <f t="shared" si="19"/>
        <v>0</v>
      </c>
      <c r="AP316" s="91"/>
      <c r="AQ316" s="217"/>
      <c r="AR316" s="196"/>
      <c r="AS316" s="265"/>
      <c r="AT316" s="94"/>
      <c r="AU316" s="84"/>
      <c r="AV316" s="136"/>
      <c r="AW316" s="81"/>
      <c r="AX316" s="137"/>
      <c r="AY316" s="138"/>
      <c r="AZ316" s="220">
        <f t="shared" si="16"/>
        <v>0</v>
      </c>
      <c r="BA316" s="220">
        <f t="shared" si="17"/>
        <v>0</v>
      </c>
    </row>
    <row r="317" spans="1:53" ht="50.1" customHeight="1" x14ac:dyDescent="0.25">
      <c r="A317" s="17">
        <f t="shared" si="18"/>
        <v>303</v>
      </c>
      <c r="B317" s="228"/>
      <c r="C317" s="221"/>
      <c r="D317" s="88"/>
      <c r="E317" s="100"/>
      <c r="F317" s="95"/>
      <c r="G317" s="114"/>
      <c r="H317" s="96"/>
      <c r="I317" s="97"/>
      <c r="J317" s="98"/>
      <c r="K317" s="101"/>
      <c r="L317" s="124"/>
      <c r="M317" s="333"/>
      <c r="N317" s="341"/>
      <c r="O317" s="190"/>
      <c r="P317" s="191"/>
      <c r="Q317" s="190"/>
      <c r="R317" s="191"/>
      <c r="S317" s="294"/>
      <c r="T317" s="300"/>
      <c r="U317" s="306"/>
      <c r="V317" s="308"/>
      <c r="W317" s="248"/>
      <c r="X317" s="342"/>
      <c r="Y317" s="337"/>
      <c r="Z317" s="123"/>
      <c r="AA317" s="83"/>
      <c r="AB317" s="123"/>
      <c r="AC317" s="83"/>
      <c r="AD317" s="123"/>
      <c r="AE317" s="83"/>
      <c r="AF317" s="123"/>
      <c r="AG317" s="243"/>
      <c r="AH317" s="33"/>
      <c r="AI317" s="245"/>
      <c r="AJ317" s="125"/>
      <c r="AK317" s="92"/>
      <c r="AL317" s="126"/>
      <c r="AM317" s="91"/>
      <c r="AN317" s="91"/>
      <c r="AO317" s="197">
        <f t="shared" si="19"/>
        <v>0</v>
      </c>
      <c r="AP317" s="126"/>
      <c r="AQ317" s="217"/>
      <c r="AR317" s="201"/>
      <c r="AS317" s="266"/>
      <c r="AT317" s="94"/>
      <c r="AU317" s="84"/>
      <c r="AV317" s="80"/>
      <c r="AW317" s="81"/>
      <c r="AX317" s="77"/>
      <c r="AY317" s="107"/>
      <c r="AZ317" s="220">
        <f t="shared" si="16"/>
        <v>0</v>
      </c>
      <c r="BA317" s="220">
        <f t="shared" si="17"/>
        <v>0</v>
      </c>
    </row>
    <row r="318" spans="1:53" ht="50.1" customHeight="1" x14ac:dyDescent="0.25">
      <c r="A318" s="17">
        <f t="shared" si="18"/>
        <v>304</v>
      </c>
      <c r="B318" s="229"/>
      <c r="C318" s="222"/>
      <c r="D318" s="112"/>
      <c r="E318" s="128"/>
      <c r="F318" s="183"/>
      <c r="G318" s="130"/>
      <c r="H318" s="131"/>
      <c r="I318" s="132"/>
      <c r="J318" s="189"/>
      <c r="K318" s="133"/>
      <c r="L318" s="134"/>
      <c r="M318" s="334"/>
      <c r="N318" s="343"/>
      <c r="O318" s="193"/>
      <c r="P318" s="191"/>
      <c r="Q318" s="193"/>
      <c r="R318" s="191"/>
      <c r="S318" s="296"/>
      <c r="T318" s="302"/>
      <c r="U318" s="306"/>
      <c r="V318" s="308"/>
      <c r="W318" s="249"/>
      <c r="X318" s="344"/>
      <c r="Y318" s="337"/>
      <c r="Z318" s="33"/>
      <c r="AA318" s="83"/>
      <c r="AB318" s="33"/>
      <c r="AC318" s="83"/>
      <c r="AD318" s="33"/>
      <c r="AE318" s="83"/>
      <c r="AF318" s="33"/>
      <c r="AG318" s="244"/>
      <c r="AH318" s="83"/>
      <c r="AI318" s="246"/>
      <c r="AJ318" s="195"/>
      <c r="AK318" s="92"/>
      <c r="AL318" s="91"/>
      <c r="AM318" s="92"/>
      <c r="AN318" s="351"/>
      <c r="AO318" s="197">
        <f t="shared" si="19"/>
        <v>0</v>
      </c>
      <c r="AP318" s="91"/>
      <c r="AQ318" s="217"/>
      <c r="AR318" s="196"/>
      <c r="AS318" s="265"/>
      <c r="AT318" s="94"/>
      <c r="AU318" s="84"/>
      <c r="AV318" s="136"/>
      <c r="AW318" s="81"/>
      <c r="AX318" s="137"/>
      <c r="AY318" s="138"/>
      <c r="AZ318" s="220">
        <f t="shared" si="16"/>
        <v>0</v>
      </c>
      <c r="BA318" s="220">
        <f t="shared" si="17"/>
        <v>0</v>
      </c>
    </row>
    <row r="319" spans="1:53" ht="50.1" customHeight="1" x14ac:dyDescent="0.25">
      <c r="A319" s="17">
        <f t="shared" si="18"/>
        <v>305</v>
      </c>
      <c r="B319" s="228"/>
      <c r="C319" s="221"/>
      <c r="D319" s="88"/>
      <c r="E319" s="100"/>
      <c r="F319" s="95"/>
      <c r="G319" s="114"/>
      <c r="H319" s="96"/>
      <c r="I319" s="97"/>
      <c r="J319" s="98"/>
      <c r="K319" s="101"/>
      <c r="L319" s="124"/>
      <c r="M319" s="333"/>
      <c r="N319" s="341"/>
      <c r="O319" s="190"/>
      <c r="P319" s="191"/>
      <c r="Q319" s="190"/>
      <c r="R319" s="191"/>
      <c r="S319" s="294"/>
      <c r="T319" s="300"/>
      <c r="U319" s="306"/>
      <c r="V319" s="308"/>
      <c r="W319" s="248"/>
      <c r="X319" s="342"/>
      <c r="Y319" s="337"/>
      <c r="Z319" s="123"/>
      <c r="AA319" s="83"/>
      <c r="AB319" s="123"/>
      <c r="AC319" s="83"/>
      <c r="AD319" s="123"/>
      <c r="AE319" s="83"/>
      <c r="AF319" s="123"/>
      <c r="AG319" s="243"/>
      <c r="AH319" s="33"/>
      <c r="AI319" s="245"/>
      <c r="AJ319" s="125"/>
      <c r="AK319" s="92"/>
      <c r="AL319" s="126"/>
      <c r="AM319" s="91"/>
      <c r="AN319" s="91"/>
      <c r="AO319" s="197">
        <f t="shared" si="19"/>
        <v>0</v>
      </c>
      <c r="AP319" s="126"/>
      <c r="AQ319" s="217"/>
      <c r="AR319" s="201"/>
      <c r="AS319" s="266"/>
      <c r="AT319" s="94"/>
      <c r="AU319" s="84"/>
      <c r="AV319" s="80"/>
      <c r="AW319" s="81"/>
      <c r="AX319" s="77"/>
      <c r="AY319" s="107"/>
      <c r="AZ319" s="220">
        <f t="shared" si="16"/>
        <v>0</v>
      </c>
      <c r="BA319" s="220">
        <f t="shared" si="17"/>
        <v>0</v>
      </c>
    </row>
    <row r="320" spans="1:53" ht="50.1" customHeight="1" x14ac:dyDescent="0.25">
      <c r="A320" s="17">
        <f t="shared" si="18"/>
        <v>306</v>
      </c>
      <c r="B320" s="229"/>
      <c r="C320" s="222"/>
      <c r="D320" s="112"/>
      <c r="E320" s="128"/>
      <c r="F320" s="183"/>
      <c r="G320" s="130"/>
      <c r="H320" s="131"/>
      <c r="I320" s="132"/>
      <c r="J320" s="189"/>
      <c r="K320" s="133"/>
      <c r="L320" s="134"/>
      <c r="M320" s="334"/>
      <c r="N320" s="343"/>
      <c r="O320" s="193"/>
      <c r="P320" s="191"/>
      <c r="Q320" s="193"/>
      <c r="R320" s="191"/>
      <c r="S320" s="296"/>
      <c r="T320" s="302"/>
      <c r="U320" s="306"/>
      <c r="V320" s="308"/>
      <c r="W320" s="249"/>
      <c r="X320" s="344"/>
      <c r="Y320" s="337"/>
      <c r="Z320" s="33"/>
      <c r="AA320" s="83"/>
      <c r="AB320" s="33"/>
      <c r="AC320" s="83"/>
      <c r="AD320" s="33"/>
      <c r="AE320" s="83"/>
      <c r="AF320" s="33"/>
      <c r="AG320" s="244"/>
      <c r="AH320" s="83"/>
      <c r="AI320" s="246"/>
      <c r="AJ320" s="102"/>
      <c r="AK320" s="92"/>
      <c r="AL320" s="91"/>
      <c r="AM320" s="92"/>
      <c r="AN320" s="351"/>
      <c r="AO320" s="197">
        <f t="shared" si="19"/>
        <v>0</v>
      </c>
      <c r="AP320" s="91"/>
      <c r="AQ320" s="217"/>
      <c r="AR320" s="196"/>
      <c r="AS320" s="265"/>
      <c r="AT320" s="94"/>
      <c r="AU320" s="84"/>
      <c r="AV320" s="136"/>
      <c r="AW320" s="81"/>
      <c r="AX320" s="137"/>
      <c r="AY320" s="138"/>
      <c r="AZ320" s="220">
        <f t="shared" si="16"/>
        <v>0</v>
      </c>
      <c r="BA320" s="220">
        <f t="shared" si="17"/>
        <v>0</v>
      </c>
    </row>
    <row r="321" spans="1:53" ht="50.1" customHeight="1" x14ac:dyDescent="0.25">
      <c r="A321" s="17">
        <f t="shared" si="18"/>
        <v>307</v>
      </c>
      <c r="B321" s="228"/>
      <c r="C321" s="221"/>
      <c r="D321" s="88"/>
      <c r="E321" s="100"/>
      <c r="F321" s="95"/>
      <c r="G321" s="114"/>
      <c r="H321" s="96"/>
      <c r="I321" s="97"/>
      <c r="J321" s="98"/>
      <c r="K321" s="101"/>
      <c r="L321" s="124"/>
      <c r="M321" s="333"/>
      <c r="N321" s="341"/>
      <c r="O321" s="190"/>
      <c r="P321" s="191"/>
      <c r="Q321" s="190"/>
      <c r="R321" s="191"/>
      <c r="S321" s="294"/>
      <c r="T321" s="300"/>
      <c r="U321" s="306"/>
      <c r="V321" s="308"/>
      <c r="W321" s="248"/>
      <c r="X321" s="342"/>
      <c r="Y321" s="337"/>
      <c r="Z321" s="123"/>
      <c r="AA321" s="83"/>
      <c r="AB321" s="123"/>
      <c r="AC321" s="83"/>
      <c r="AD321" s="123"/>
      <c r="AE321" s="83"/>
      <c r="AF321" s="123"/>
      <c r="AG321" s="243"/>
      <c r="AH321" s="33"/>
      <c r="AI321" s="245"/>
      <c r="AJ321" s="125"/>
      <c r="AK321" s="92"/>
      <c r="AL321" s="126"/>
      <c r="AM321" s="91"/>
      <c r="AN321" s="91"/>
      <c r="AO321" s="197">
        <f t="shared" si="19"/>
        <v>0</v>
      </c>
      <c r="AP321" s="126"/>
      <c r="AQ321" s="217"/>
      <c r="AR321" s="201"/>
      <c r="AS321" s="266"/>
      <c r="AT321" s="94"/>
      <c r="AU321" s="84"/>
      <c r="AV321" s="80"/>
      <c r="AW321" s="81"/>
      <c r="AX321" s="77"/>
      <c r="AY321" s="107"/>
      <c r="AZ321" s="220">
        <f t="shared" si="16"/>
        <v>0</v>
      </c>
      <c r="BA321" s="220">
        <f t="shared" si="17"/>
        <v>0</v>
      </c>
    </row>
    <row r="322" spans="1:53" ht="50.1" customHeight="1" x14ac:dyDescent="0.25">
      <c r="A322" s="17">
        <f t="shared" si="18"/>
        <v>308</v>
      </c>
      <c r="B322" s="229"/>
      <c r="C322" s="222"/>
      <c r="D322" s="112"/>
      <c r="E322" s="128"/>
      <c r="F322" s="183"/>
      <c r="G322" s="130"/>
      <c r="H322" s="131"/>
      <c r="I322" s="132"/>
      <c r="J322" s="189"/>
      <c r="K322" s="133"/>
      <c r="L322" s="134"/>
      <c r="M322" s="334"/>
      <c r="N322" s="343"/>
      <c r="O322" s="193"/>
      <c r="P322" s="191"/>
      <c r="Q322" s="193"/>
      <c r="R322" s="191"/>
      <c r="S322" s="296"/>
      <c r="T322" s="302"/>
      <c r="U322" s="306"/>
      <c r="V322" s="308"/>
      <c r="W322" s="249"/>
      <c r="X322" s="345"/>
      <c r="Y322" s="337"/>
      <c r="Z322" s="33"/>
      <c r="AA322" s="83"/>
      <c r="AB322" s="33"/>
      <c r="AC322" s="83"/>
      <c r="AD322" s="33"/>
      <c r="AE322" s="83"/>
      <c r="AF322" s="33"/>
      <c r="AG322" s="244"/>
      <c r="AH322" s="83"/>
      <c r="AI322" s="246"/>
      <c r="AJ322" s="102"/>
      <c r="AK322" s="92"/>
      <c r="AL322" s="91"/>
      <c r="AM322" s="92"/>
      <c r="AN322" s="351"/>
      <c r="AO322" s="197">
        <f t="shared" si="19"/>
        <v>0</v>
      </c>
      <c r="AP322" s="91"/>
      <c r="AQ322" s="217"/>
      <c r="AR322" s="196"/>
      <c r="AS322" s="265"/>
      <c r="AT322" s="94"/>
      <c r="AU322" s="84"/>
      <c r="AV322" s="136"/>
      <c r="AW322" s="81"/>
      <c r="AX322" s="137"/>
      <c r="AY322" s="138"/>
      <c r="AZ322" s="220">
        <f t="shared" si="16"/>
        <v>0</v>
      </c>
      <c r="BA322" s="220">
        <f t="shared" si="17"/>
        <v>0</v>
      </c>
    </row>
    <row r="323" spans="1:53" ht="50.1" customHeight="1" x14ac:dyDescent="0.25">
      <c r="A323" s="17">
        <f t="shared" si="18"/>
        <v>309</v>
      </c>
      <c r="B323" s="228"/>
      <c r="C323" s="221"/>
      <c r="D323" s="88"/>
      <c r="E323" s="100"/>
      <c r="F323" s="95"/>
      <c r="G323" s="114"/>
      <c r="H323" s="96"/>
      <c r="I323" s="97"/>
      <c r="J323" s="98"/>
      <c r="K323" s="101"/>
      <c r="L323" s="124"/>
      <c r="M323" s="333"/>
      <c r="N323" s="341"/>
      <c r="O323" s="190"/>
      <c r="P323" s="191"/>
      <c r="Q323" s="190"/>
      <c r="R323" s="191"/>
      <c r="S323" s="294"/>
      <c r="T323" s="300"/>
      <c r="U323" s="306"/>
      <c r="V323" s="308"/>
      <c r="W323" s="248"/>
      <c r="X323" s="342"/>
      <c r="Y323" s="337"/>
      <c r="Z323" s="123"/>
      <c r="AA323" s="83"/>
      <c r="AB323" s="123"/>
      <c r="AC323" s="83"/>
      <c r="AD323" s="123"/>
      <c r="AE323" s="83"/>
      <c r="AF323" s="123"/>
      <c r="AG323" s="243"/>
      <c r="AH323" s="33"/>
      <c r="AI323" s="245"/>
      <c r="AJ323" s="125"/>
      <c r="AK323" s="92"/>
      <c r="AL323" s="126"/>
      <c r="AM323" s="91"/>
      <c r="AN323" s="91"/>
      <c r="AO323" s="197">
        <f t="shared" si="19"/>
        <v>0</v>
      </c>
      <c r="AP323" s="126"/>
      <c r="AQ323" s="217"/>
      <c r="AR323" s="201"/>
      <c r="AS323" s="266"/>
      <c r="AT323" s="94"/>
      <c r="AU323" s="84"/>
      <c r="AV323" s="80"/>
      <c r="AW323" s="81"/>
      <c r="AX323" s="77"/>
      <c r="AY323" s="107"/>
      <c r="AZ323" s="220">
        <f t="shared" si="16"/>
        <v>0</v>
      </c>
      <c r="BA323" s="220">
        <f t="shared" si="17"/>
        <v>0</v>
      </c>
    </row>
    <row r="324" spans="1:53" ht="50.1" customHeight="1" x14ac:dyDescent="0.25">
      <c r="A324" s="17">
        <f t="shared" si="18"/>
        <v>310</v>
      </c>
      <c r="B324" s="229"/>
      <c r="C324" s="222"/>
      <c r="D324" s="112"/>
      <c r="E324" s="128"/>
      <c r="F324" s="183"/>
      <c r="G324" s="130"/>
      <c r="H324" s="131"/>
      <c r="I324" s="132"/>
      <c r="J324" s="189"/>
      <c r="K324" s="133"/>
      <c r="L324" s="134"/>
      <c r="M324" s="334"/>
      <c r="N324" s="343"/>
      <c r="O324" s="193"/>
      <c r="P324" s="191"/>
      <c r="Q324" s="193"/>
      <c r="R324" s="191"/>
      <c r="S324" s="296"/>
      <c r="T324" s="302"/>
      <c r="U324" s="306"/>
      <c r="V324" s="308"/>
      <c r="W324" s="249"/>
      <c r="X324" s="344"/>
      <c r="Y324" s="337"/>
      <c r="Z324" s="33"/>
      <c r="AA324" s="83"/>
      <c r="AB324" s="33"/>
      <c r="AC324" s="83"/>
      <c r="AD324" s="33"/>
      <c r="AE324" s="83"/>
      <c r="AF324" s="33"/>
      <c r="AG324" s="244"/>
      <c r="AH324" s="83"/>
      <c r="AI324" s="246"/>
      <c r="AJ324" s="102"/>
      <c r="AK324" s="92"/>
      <c r="AL324" s="91"/>
      <c r="AM324" s="92"/>
      <c r="AN324" s="351"/>
      <c r="AO324" s="197">
        <f t="shared" si="19"/>
        <v>0</v>
      </c>
      <c r="AP324" s="91"/>
      <c r="AQ324" s="217"/>
      <c r="AR324" s="196"/>
      <c r="AS324" s="265"/>
      <c r="AT324" s="94"/>
      <c r="AU324" s="84"/>
      <c r="AV324" s="136"/>
      <c r="AW324" s="81"/>
      <c r="AX324" s="137"/>
      <c r="AY324" s="138"/>
      <c r="AZ324" s="220">
        <f t="shared" si="16"/>
        <v>0</v>
      </c>
      <c r="BA324" s="220">
        <f t="shared" si="17"/>
        <v>0</v>
      </c>
    </row>
    <row r="325" spans="1:53" ht="50.1" customHeight="1" x14ac:dyDescent="0.25">
      <c r="A325" s="17">
        <f t="shared" si="18"/>
        <v>311</v>
      </c>
      <c r="B325" s="228"/>
      <c r="C325" s="221"/>
      <c r="D325" s="88"/>
      <c r="E325" s="100"/>
      <c r="F325" s="95"/>
      <c r="G325" s="114"/>
      <c r="H325" s="96"/>
      <c r="I325" s="97"/>
      <c r="J325" s="98"/>
      <c r="K325" s="101"/>
      <c r="L325" s="124"/>
      <c r="M325" s="333"/>
      <c r="N325" s="341"/>
      <c r="O325" s="190"/>
      <c r="P325" s="191"/>
      <c r="Q325" s="190"/>
      <c r="R325" s="191"/>
      <c r="S325" s="294"/>
      <c r="T325" s="300"/>
      <c r="U325" s="306"/>
      <c r="V325" s="308"/>
      <c r="W325" s="248"/>
      <c r="X325" s="342"/>
      <c r="Y325" s="337"/>
      <c r="Z325" s="123"/>
      <c r="AA325" s="83"/>
      <c r="AB325" s="123"/>
      <c r="AC325" s="83"/>
      <c r="AD325" s="123"/>
      <c r="AE325" s="83"/>
      <c r="AF325" s="123"/>
      <c r="AG325" s="243"/>
      <c r="AH325" s="33"/>
      <c r="AI325" s="245"/>
      <c r="AJ325" s="125"/>
      <c r="AK325" s="92"/>
      <c r="AL325" s="126"/>
      <c r="AM325" s="91"/>
      <c r="AN325" s="91"/>
      <c r="AO325" s="197">
        <f t="shared" si="19"/>
        <v>0</v>
      </c>
      <c r="AP325" s="126"/>
      <c r="AQ325" s="217"/>
      <c r="AR325" s="201"/>
      <c r="AS325" s="266"/>
      <c r="AT325" s="94"/>
      <c r="AU325" s="84"/>
      <c r="AV325" s="80"/>
      <c r="AW325" s="81"/>
      <c r="AX325" s="77"/>
      <c r="AY325" s="107"/>
      <c r="AZ325" s="220">
        <f t="shared" si="16"/>
        <v>0</v>
      </c>
      <c r="BA325" s="220">
        <f t="shared" si="17"/>
        <v>0</v>
      </c>
    </row>
    <row r="326" spans="1:53" ht="50.1" customHeight="1" x14ac:dyDescent="0.25">
      <c r="A326" s="17">
        <f t="shared" si="18"/>
        <v>312</v>
      </c>
      <c r="B326" s="229"/>
      <c r="C326" s="222"/>
      <c r="D326" s="112"/>
      <c r="E326" s="128"/>
      <c r="F326" s="183"/>
      <c r="G326" s="130"/>
      <c r="H326" s="131"/>
      <c r="I326" s="132"/>
      <c r="J326" s="189"/>
      <c r="K326" s="133"/>
      <c r="L326" s="134"/>
      <c r="M326" s="334"/>
      <c r="N326" s="343"/>
      <c r="O326" s="193"/>
      <c r="P326" s="191"/>
      <c r="Q326" s="193"/>
      <c r="R326" s="191"/>
      <c r="S326" s="296"/>
      <c r="T326" s="302"/>
      <c r="U326" s="306"/>
      <c r="V326" s="308"/>
      <c r="W326" s="249"/>
      <c r="X326" s="344"/>
      <c r="Y326" s="337"/>
      <c r="Z326" s="33"/>
      <c r="AA326" s="83"/>
      <c r="AB326" s="33"/>
      <c r="AC326" s="83"/>
      <c r="AD326" s="33"/>
      <c r="AE326" s="83"/>
      <c r="AF326" s="33"/>
      <c r="AG326" s="244"/>
      <c r="AH326" s="83"/>
      <c r="AI326" s="246"/>
      <c r="AJ326" s="102"/>
      <c r="AK326" s="92"/>
      <c r="AL326" s="91"/>
      <c r="AM326" s="92"/>
      <c r="AN326" s="351"/>
      <c r="AO326" s="197">
        <f t="shared" si="19"/>
        <v>0</v>
      </c>
      <c r="AP326" s="91"/>
      <c r="AQ326" s="217"/>
      <c r="AR326" s="196"/>
      <c r="AS326" s="265"/>
      <c r="AT326" s="94"/>
      <c r="AU326" s="84"/>
      <c r="AV326" s="136"/>
      <c r="AW326" s="81"/>
      <c r="AX326" s="137"/>
      <c r="AY326" s="138"/>
      <c r="AZ326" s="220">
        <f t="shared" si="16"/>
        <v>0</v>
      </c>
      <c r="BA326" s="220">
        <f t="shared" si="17"/>
        <v>0</v>
      </c>
    </row>
    <row r="327" spans="1:53" ht="50.1" customHeight="1" x14ac:dyDescent="0.25">
      <c r="A327" s="17">
        <f t="shared" si="18"/>
        <v>313</v>
      </c>
      <c r="B327" s="228"/>
      <c r="C327" s="221"/>
      <c r="D327" s="88"/>
      <c r="E327" s="100"/>
      <c r="F327" s="95"/>
      <c r="G327" s="114"/>
      <c r="H327" s="96"/>
      <c r="I327" s="97"/>
      <c r="J327" s="98"/>
      <c r="K327" s="101"/>
      <c r="L327" s="124"/>
      <c r="M327" s="333"/>
      <c r="N327" s="341"/>
      <c r="O327" s="190"/>
      <c r="P327" s="191"/>
      <c r="Q327" s="190"/>
      <c r="R327" s="191"/>
      <c r="S327" s="294"/>
      <c r="T327" s="300"/>
      <c r="U327" s="306"/>
      <c r="V327" s="308"/>
      <c r="W327" s="248"/>
      <c r="X327" s="342"/>
      <c r="Y327" s="337"/>
      <c r="Z327" s="123"/>
      <c r="AA327" s="83"/>
      <c r="AB327" s="123"/>
      <c r="AC327" s="83"/>
      <c r="AD327" s="123"/>
      <c r="AE327" s="83"/>
      <c r="AF327" s="123"/>
      <c r="AG327" s="243"/>
      <c r="AH327" s="33"/>
      <c r="AI327" s="245"/>
      <c r="AJ327" s="125"/>
      <c r="AK327" s="92"/>
      <c r="AL327" s="126"/>
      <c r="AM327" s="91"/>
      <c r="AN327" s="91"/>
      <c r="AO327" s="197">
        <f t="shared" si="19"/>
        <v>0</v>
      </c>
      <c r="AP327" s="126"/>
      <c r="AQ327" s="217"/>
      <c r="AR327" s="201"/>
      <c r="AS327" s="266"/>
      <c r="AT327" s="94"/>
      <c r="AU327" s="84"/>
      <c r="AV327" s="80"/>
      <c r="AW327" s="81"/>
      <c r="AX327" s="77"/>
      <c r="AY327" s="107"/>
      <c r="AZ327" s="220">
        <f t="shared" si="16"/>
        <v>0</v>
      </c>
      <c r="BA327" s="220">
        <f t="shared" si="17"/>
        <v>0</v>
      </c>
    </row>
    <row r="328" spans="1:53" ht="50.1" customHeight="1" x14ac:dyDescent="0.25">
      <c r="A328" s="17">
        <f t="shared" si="18"/>
        <v>314</v>
      </c>
      <c r="B328" s="229"/>
      <c r="C328" s="222"/>
      <c r="D328" s="112"/>
      <c r="E328" s="128"/>
      <c r="F328" s="183"/>
      <c r="G328" s="130"/>
      <c r="H328" s="131"/>
      <c r="I328" s="132"/>
      <c r="J328" s="189"/>
      <c r="K328" s="133"/>
      <c r="L328" s="134"/>
      <c r="M328" s="334"/>
      <c r="N328" s="343"/>
      <c r="O328" s="193"/>
      <c r="P328" s="191"/>
      <c r="Q328" s="193"/>
      <c r="R328" s="191"/>
      <c r="S328" s="296"/>
      <c r="T328" s="302"/>
      <c r="U328" s="306"/>
      <c r="V328" s="308"/>
      <c r="W328" s="249"/>
      <c r="X328" s="344"/>
      <c r="Y328" s="337"/>
      <c r="Z328" s="33"/>
      <c r="AA328" s="83"/>
      <c r="AB328" s="33"/>
      <c r="AC328" s="83"/>
      <c r="AD328" s="33"/>
      <c r="AE328" s="83"/>
      <c r="AF328" s="33"/>
      <c r="AG328" s="244"/>
      <c r="AH328" s="83"/>
      <c r="AI328" s="246"/>
      <c r="AJ328" s="102"/>
      <c r="AK328" s="92"/>
      <c r="AL328" s="91"/>
      <c r="AM328" s="92"/>
      <c r="AN328" s="351"/>
      <c r="AO328" s="197">
        <f t="shared" si="19"/>
        <v>0</v>
      </c>
      <c r="AP328" s="91"/>
      <c r="AQ328" s="217"/>
      <c r="AR328" s="196"/>
      <c r="AS328" s="265"/>
      <c r="AT328" s="94"/>
      <c r="AU328" s="84"/>
      <c r="AV328" s="136"/>
      <c r="AW328" s="81"/>
      <c r="AX328" s="137"/>
      <c r="AY328" s="138"/>
      <c r="AZ328" s="220">
        <f t="shared" si="16"/>
        <v>0</v>
      </c>
      <c r="BA328" s="220">
        <f t="shared" si="17"/>
        <v>0</v>
      </c>
    </row>
    <row r="329" spans="1:53" ht="50.1" customHeight="1" x14ac:dyDescent="0.25">
      <c r="A329" s="17">
        <f t="shared" si="18"/>
        <v>315</v>
      </c>
      <c r="B329" s="228"/>
      <c r="C329" s="221"/>
      <c r="D329" s="88"/>
      <c r="E329" s="100"/>
      <c r="F329" s="95"/>
      <c r="G329" s="114"/>
      <c r="H329" s="96"/>
      <c r="I329" s="97"/>
      <c r="J329" s="98"/>
      <c r="K329" s="101"/>
      <c r="L329" s="124"/>
      <c r="M329" s="333"/>
      <c r="N329" s="341"/>
      <c r="O329" s="190"/>
      <c r="P329" s="191"/>
      <c r="Q329" s="190"/>
      <c r="R329" s="191"/>
      <c r="S329" s="294"/>
      <c r="T329" s="300"/>
      <c r="U329" s="306"/>
      <c r="V329" s="308"/>
      <c r="W329" s="248"/>
      <c r="X329" s="342"/>
      <c r="Y329" s="337"/>
      <c r="Z329" s="123"/>
      <c r="AA329" s="83"/>
      <c r="AB329" s="123"/>
      <c r="AC329" s="83"/>
      <c r="AD329" s="123"/>
      <c r="AE329" s="83"/>
      <c r="AF329" s="123"/>
      <c r="AG329" s="243"/>
      <c r="AH329" s="33"/>
      <c r="AI329" s="245"/>
      <c r="AJ329" s="125"/>
      <c r="AK329" s="92"/>
      <c r="AL329" s="126"/>
      <c r="AM329" s="91"/>
      <c r="AN329" s="91"/>
      <c r="AO329" s="197">
        <f t="shared" si="19"/>
        <v>0</v>
      </c>
      <c r="AP329" s="126"/>
      <c r="AQ329" s="217"/>
      <c r="AR329" s="201"/>
      <c r="AS329" s="266"/>
      <c r="AT329" s="94"/>
      <c r="AU329" s="84"/>
      <c r="AV329" s="80"/>
      <c r="AW329" s="81"/>
      <c r="AX329" s="77"/>
      <c r="AY329" s="107"/>
      <c r="AZ329" s="220">
        <f t="shared" si="16"/>
        <v>0</v>
      </c>
      <c r="BA329" s="220">
        <f t="shared" si="17"/>
        <v>0</v>
      </c>
    </row>
    <row r="330" spans="1:53" ht="50.1" customHeight="1" x14ac:dyDescent="0.25">
      <c r="A330" s="17">
        <f t="shared" si="18"/>
        <v>316</v>
      </c>
      <c r="B330" s="229"/>
      <c r="C330" s="222"/>
      <c r="D330" s="112"/>
      <c r="E330" s="128"/>
      <c r="F330" s="183"/>
      <c r="G330" s="130"/>
      <c r="H330" s="131"/>
      <c r="I330" s="132"/>
      <c r="J330" s="189"/>
      <c r="K330" s="133"/>
      <c r="L330" s="134"/>
      <c r="M330" s="334"/>
      <c r="N330" s="343"/>
      <c r="O330" s="193"/>
      <c r="P330" s="191"/>
      <c r="Q330" s="193"/>
      <c r="R330" s="191"/>
      <c r="S330" s="296"/>
      <c r="T330" s="302"/>
      <c r="U330" s="306"/>
      <c r="V330" s="308"/>
      <c r="W330" s="249"/>
      <c r="X330" s="344"/>
      <c r="Y330" s="337"/>
      <c r="Z330" s="33"/>
      <c r="AA330" s="83"/>
      <c r="AB330" s="33"/>
      <c r="AC330" s="83"/>
      <c r="AD330" s="33"/>
      <c r="AE330" s="83"/>
      <c r="AF330" s="33"/>
      <c r="AG330" s="244"/>
      <c r="AH330" s="83"/>
      <c r="AI330" s="246"/>
      <c r="AJ330" s="102"/>
      <c r="AK330" s="92"/>
      <c r="AL330" s="91"/>
      <c r="AM330" s="92"/>
      <c r="AN330" s="351"/>
      <c r="AO330" s="197">
        <f t="shared" si="19"/>
        <v>0</v>
      </c>
      <c r="AP330" s="91"/>
      <c r="AQ330" s="217"/>
      <c r="AR330" s="196"/>
      <c r="AS330" s="265"/>
      <c r="AT330" s="94"/>
      <c r="AU330" s="84"/>
      <c r="AV330" s="136"/>
      <c r="AW330" s="81"/>
      <c r="AX330" s="137"/>
      <c r="AY330" s="138"/>
      <c r="AZ330" s="220">
        <f t="shared" si="16"/>
        <v>0</v>
      </c>
      <c r="BA330" s="220">
        <f t="shared" si="17"/>
        <v>0</v>
      </c>
    </row>
    <row r="331" spans="1:53" ht="50.1" customHeight="1" x14ac:dyDescent="0.25">
      <c r="A331" s="17">
        <f t="shared" si="18"/>
        <v>317</v>
      </c>
      <c r="B331" s="228"/>
      <c r="C331" s="221"/>
      <c r="D331" s="88"/>
      <c r="E331" s="100"/>
      <c r="F331" s="95"/>
      <c r="G331" s="114"/>
      <c r="H331" s="96"/>
      <c r="I331" s="97"/>
      <c r="J331" s="98"/>
      <c r="K331" s="101"/>
      <c r="L331" s="124"/>
      <c r="M331" s="333"/>
      <c r="N331" s="341"/>
      <c r="O331" s="190"/>
      <c r="P331" s="191"/>
      <c r="Q331" s="190"/>
      <c r="R331" s="191"/>
      <c r="S331" s="294"/>
      <c r="T331" s="300"/>
      <c r="U331" s="306"/>
      <c r="V331" s="308"/>
      <c r="W331" s="248"/>
      <c r="X331" s="342"/>
      <c r="Y331" s="337"/>
      <c r="Z331" s="123"/>
      <c r="AA331" s="83"/>
      <c r="AB331" s="123"/>
      <c r="AC331" s="83"/>
      <c r="AD331" s="123"/>
      <c r="AE331" s="83"/>
      <c r="AF331" s="123"/>
      <c r="AG331" s="243"/>
      <c r="AH331" s="33"/>
      <c r="AI331" s="245"/>
      <c r="AJ331" s="125"/>
      <c r="AK331" s="92"/>
      <c r="AL331" s="126"/>
      <c r="AM331" s="91"/>
      <c r="AN331" s="91"/>
      <c r="AO331" s="197">
        <f t="shared" si="19"/>
        <v>0</v>
      </c>
      <c r="AP331" s="126"/>
      <c r="AQ331" s="217"/>
      <c r="AR331" s="201"/>
      <c r="AS331" s="266"/>
      <c r="AT331" s="94"/>
      <c r="AU331" s="84"/>
      <c r="AV331" s="80"/>
      <c r="AW331" s="81"/>
      <c r="AX331" s="77"/>
      <c r="AY331" s="107"/>
      <c r="AZ331" s="220">
        <f t="shared" si="16"/>
        <v>0</v>
      </c>
      <c r="BA331" s="220">
        <f t="shared" si="17"/>
        <v>0</v>
      </c>
    </row>
    <row r="332" spans="1:53" ht="50.1" customHeight="1" x14ac:dyDescent="0.25">
      <c r="A332" s="17">
        <f t="shared" si="18"/>
        <v>318</v>
      </c>
      <c r="B332" s="229"/>
      <c r="C332" s="222"/>
      <c r="D332" s="112"/>
      <c r="E332" s="128"/>
      <c r="F332" s="183"/>
      <c r="G332" s="130"/>
      <c r="H332" s="131"/>
      <c r="I332" s="132"/>
      <c r="J332" s="189"/>
      <c r="K332" s="133"/>
      <c r="L332" s="134"/>
      <c r="M332" s="334"/>
      <c r="N332" s="343"/>
      <c r="O332" s="193"/>
      <c r="P332" s="191"/>
      <c r="Q332" s="193"/>
      <c r="R332" s="191"/>
      <c r="S332" s="296"/>
      <c r="T332" s="302"/>
      <c r="U332" s="306"/>
      <c r="V332" s="308"/>
      <c r="W332" s="249"/>
      <c r="X332" s="344"/>
      <c r="Y332" s="337"/>
      <c r="Z332" s="33"/>
      <c r="AA332" s="83"/>
      <c r="AB332" s="33"/>
      <c r="AC332" s="83"/>
      <c r="AD332" s="33"/>
      <c r="AE332" s="83"/>
      <c r="AF332" s="33"/>
      <c r="AG332" s="244"/>
      <c r="AH332" s="83"/>
      <c r="AI332" s="246"/>
      <c r="AJ332" s="102"/>
      <c r="AK332" s="92"/>
      <c r="AL332" s="91"/>
      <c r="AM332" s="92"/>
      <c r="AN332" s="351"/>
      <c r="AO332" s="197">
        <f t="shared" si="19"/>
        <v>0</v>
      </c>
      <c r="AP332" s="91"/>
      <c r="AQ332" s="217"/>
      <c r="AR332" s="196"/>
      <c r="AS332" s="265"/>
      <c r="AT332" s="94"/>
      <c r="AU332" s="84"/>
      <c r="AV332" s="136"/>
      <c r="AW332" s="81"/>
      <c r="AX332" s="137"/>
      <c r="AY332" s="138"/>
      <c r="AZ332" s="220">
        <f t="shared" si="16"/>
        <v>0</v>
      </c>
      <c r="BA332" s="220">
        <f t="shared" si="17"/>
        <v>0</v>
      </c>
    </row>
    <row r="333" spans="1:53" ht="50.1" customHeight="1" x14ac:dyDescent="0.25">
      <c r="A333" s="17">
        <f t="shared" si="18"/>
        <v>319</v>
      </c>
      <c r="B333" s="228"/>
      <c r="C333" s="221"/>
      <c r="D333" s="88"/>
      <c r="E333" s="100"/>
      <c r="F333" s="95"/>
      <c r="G333" s="114"/>
      <c r="H333" s="96"/>
      <c r="I333" s="97"/>
      <c r="J333" s="98"/>
      <c r="K333" s="101"/>
      <c r="L333" s="124"/>
      <c r="M333" s="333"/>
      <c r="N333" s="341"/>
      <c r="O333" s="190"/>
      <c r="P333" s="191"/>
      <c r="Q333" s="190"/>
      <c r="R333" s="191"/>
      <c r="S333" s="294"/>
      <c r="T333" s="300"/>
      <c r="U333" s="306"/>
      <c r="V333" s="308"/>
      <c r="W333" s="248"/>
      <c r="X333" s="342"/>
      <c r="Y333" s="337"/>
      <c r="Z333" s="123"/>
      <c r="AA333" s="83"/>
      <c r="AB333" s="123"/>
      <c r="AC333" s="83"/>
      <c r="AD333" s="123"/>
      <c r="AE333" s="83"/>
      <c r="AF333" s="123"/>
      <c r="AG333" s="243"/>
      <c r="AH333" s="33"/>
      <c r="AI333" s="245"/>
      <c r="AJ333" s="125"/>
      <c r="AK333" s="92"/>
      <c r="AL333" s="126"/>
      <c r="AM333" s="91"/>
      <c r="AN333" s="91"/>
      <c r="AO333" s="197">
        <f t="shared" si="19"/>
        <v>0</v>
      </c>
      <c r="AP333" s="126"/>
      <c r="AQ333" s="217"/>
      <c r="AR333" s="201"/>
      <c r="AS333" s="266"/>
      <c r="AT333" s="94"/>
      <c r="AU333" s="84"/>
      <c r="AV333" s="80"/>
      <c r="AW333" s="81"/>
      <c r="AX333" s="77"/>
      <c r="AY333" s="107"/>
      <c r="AZ333" s="220">
        <f t="shared" si="16"/>
        <v>0</v>
      </c>
      <c r="BA333" s="220">
        <f t="shared" si="17"/>
        <v>0</v>
      </c>
    </row>
    <row r="334" spans="1:53" ht="50.1" customHeight="1" x14ac:dyDescent="0.25">
      <c r="A334" s="17">
        <f t="shared" si="18"/>
        <v>320</v>
      </c>
      <c r="B334" s="229"/>
      <c r="C334" s="222"/>
      <c r="D334" s="112"/>
      <c r="E334" s="128"/>
      <c r="F334" s="183"/>
      <c r="G334" s="130"/>
      <c r="H334" s="131"/>
      <c r="I334" s="132"/>
      <c r="J334" s="189"/>
      <c r="K334" s="133"/>
      <c r="L334" s="134"/>
      <c r="M334" s="334"/>
      <c r="N334" s="343"/>
      <c r="O334" s="193"/>
      <c r="P334" s="191"/>
      <c r="Q334" s="193"/>
      <c r="R334" s="191"/>
      <c r="S334" s="296"/>
      <c r="T334" s="302"/>
      <c r="U334" s="306"/>
      <c r="V334" s="308"/>
      <c r="W334" s="249"/>
      <c r="X334" s="344"/>
      <c r="Y334" s="337"/>
      <c r="Z334" s="33"/>
      <c r="AA334" s="83"/>
      <c r="AB334" s="33"/>
      <c r="AC334" s="83"/>
      <c r="AD334" s="33"/>
      <c r="AE334" s="83"/>
      <c r="AF334" s="33"/>
      <c r="AG334" s="244"/>
      <c r="AH334" s="83"/>
      <c r="AI334" s="246"/>
      <c r="AJ334" s="195"/>
      <c r="AK334" s="92"/>
      <c r="AL334" s="91"/>
      <c r="AM334" s="92"/>
      <c r="AN334" s="351"/>
      <c r="AO334" s="197">
        <f t="shared" si="19"/>
        <v>0</v>
      </c>
      <c r="AP334" s="91"/>
      <c r="AQ334" s="217"/>
      <c r="AR334" s="196"/>
      <c r="AS334" s="265"/>
      <c r="AT334" s="94"/>
      <c r="AU334" s="84"/>
      <c r="AV334" s="136"/>
      <c r="AW334" s="81"/>
      <c r="AX334" s="137"/>
      <c r="AY334" s="138"/>
      <c r="AZ334" s="220">
        <f t="shared" si="16"/>
        <v>0</v>
      </c>
      <c r="BA334" s="220">
        <f t="shared" si="17"/>
        <v>0</v>
      </c>
    </row>
    <row r="335" spans="1:53" ht="50.1" customHeight="1" x14ac:dyDescent="0.25">
      <c r="A335" s="17">
        <f t="shared" si="18"/>
        <v>321</v>
      </c>
      <c r="B335" s="228"/>
      <c r="C335" s="221"/>
      <c r="D335" s="88"/>
      <c r="E335" s="100"/>
      <c r="F335" s="95"/>
      <c r="G335" s="114"/>
      <c r="H335" s="96"/>
      <c r="I335" s="97"/>
      <c r="J335" s="98"/>
      <c r="K335" s="101"/>
      <c r="L335" s="124"/>
      <c r="M335" s="333"/>
      <c r="N335" s="341"/>
      <c r="O335" s="190"/>
      <c r="P335" s="191"/>
      <c r="Q335" s="190"/>
      <c r="R335" s="191"/>
      <c r="S335" s="294"/>
      <c r="T335" s="300"/>
      <c r="U335" s="306"/>
      <c r="V335" s="308"/>
      <c r="W335" s="248"/>
      <c r="X335" s="342"/>
      <c r="Y335" s="337"/>
      <c r="Z335" s="123"/>
      <c r="AA335" s="83"/>
      <c r="AB335" s="123"/>
      <c r="AC335" s="83"/>
      <c r="AD335" s="123"/>
      <c r="AE335" s="83"/>
      <c r="AF335" s="123"/>
      <c r="AG335" s="243"/>
      <c r="AH335" s="33"/>
      <c r="AI335" s="245"/>
      <c r="AJ335" s="125"/>
      <c r="AK335" s="92"/>
      <c r="AL335" s="126"/>
      <c r="AM335" s="91"/>
      <c r="AN335" s="91"/>
      <c r="AO335" s="197">
        <f t="shared" si="19"/>
        <v>0</v>
      </c>
      <c r="AP335" s="126"/>
      <c r="AQ335" s="217"/>
      <c r="AR335" s="201"/>
      <c r="AS335" s="266"/>
      <c r="AT335" s="94"/>
      <c r="AU335" s="84"/>
      <c r="AV335" s="80"/>
      <c r="AW335" s="81"/>
      <c r="AX335" s="77"/>
      <c r="AY335" s="107"/>
      <c r="AZ335" s="220">
        <f t="shared" ref="AZ335:AZ398" si="20">M335-B335</f>
        <v>0</v>
      </c>
      <c r="BA335" s="220">
        <f t="shared" ref="BA335:BA398" si="21">AU335-M335</f>
        <v>0</v>
      </c>
    </row>
    <row r="336" spans="1:53" ht="50.1" customHeight="1" x14ac:dyDescent="0.25">
      <c r="A336" s="17">
        <f t="shared" ref="A336:A399" si="22">ROW(A322)</f>
        <v>322</v>
      </c>
      <c r="B336" s="229"/>
      <c r="C336" s="222"/>
      <c r="D336" s="112"/>
      <c r="E336" s="128"/>
      <c r="F336" s="183"/>
      <c r="G336" s="130"/>
      <c r="H336" s="131"/>
      <c r="I336" s="132"/>
      <c r="J336" s="189"/>
      <c r="K336" s="133"/>
      <c r="L336" s="134"/>
      <c r="M336" s="334"/>
      <c r="N336" s="343"/>
      <c r="O336" s="193"/>
      <c r="P336" s="191"/>
      <c r="Q336" s="193"/>
      <c r="R336" s="191"/>
      <c r="S336" s="296"/>
      <c r="T336" s="302"/>
      <c r="U336" s="306"/>
      <c r="V336" s="308"/>
      <c r="W336" s="249"/>
      <c r="X336" s="344"/>
      <c r="Y336" s="337"/>
      <c r="Z336" s="33"/>
      <c r="AA336" s="83"/>
      <c r="AB336" s="33"/>
      <c r="AC336" s="83"/>
      <c r="AD336" s="33"/>
      <c r="AE336" s="83"/>
      <c r="AF336" s="33"/>
      <c r="AG336" s="244"/>
      <c r="AH336" s="83"/>
      <c r="AI336" s="246"/>
      <c r="AJ336" s="102"/>
      <c r="AK336" s="92"/>
      <c r="AL336" s="91"/>
      <c r="AM336" s="92"/>
      <c r="AN336" s="351"/>
      <c r="AO336" s="197">
        <f t="shared" ref="AO336:AO399" si="23">AJ336-AK336-AL336-AM336-AN336</f>
        <v>0</v>
      </c>
      <c r="AP336" s="91"/>
      <c r="AQ336" s="217"/>
      <c r="AR336" s="196"/>
      <c r="AS336" s="265"/>
      <c r="AT336" s="94"/>
      <c r="AU336" s="84"/>
      <c r="AV336" s="136"/>
      <c r="AW336" s="81"/>
      <c r="AX336" s="137"/>
      <c r="AY336" s="138"/>
      <c r="AZ336" s="220">
        <f t="shared" si="20"/>
        <v>0</v>
      </c>
      <c r="BA336" s="220">
        <f t="shared" si="21"/>
        <v>0</v>
      </c>
    </row>
    <row r="337" spans="1:53" ht="50.1" customHeight="1" x14ac:dyDescent="0.25">
      <c r="A337" s="17">
        <f t="shared" si="22"/>
        <v>323</v>
      </c>
      <c r="B337" s="228"/>
      <c r="C337" s="221"/>
      <c r="D337" s="88"/>
      <c r="E337" s="100"/>
      <c r="F337" s="95"/>
      <c r="G337" s="114"/>
      <c r="H337" s="96"/>
      <c r="I337" s="97"/>
      <c r="J337" s="98"/>
      <c r="K337" s="101"/>
      <c r="L337" s="124"/>
      <c r="M337" s="333"/>
      <c r="N337" s="341"/>
      <c r="O337" s="190"/>
      <c r="P337" s="191"/>
      <c r="Q337" s="190"/>
      <c r="R337" s="191"/>
      <c r="S337" s="294"/>
      <c r="T337" s="300"/>
      <c r="U337" s="306"/>
      <c r="V337" s="308"/>
      <c r="W337" s="248"/>
      <c r="X337" s="342"/>
      <c r="Y337" s="337"/>
      <c r="Z337" s="123"/>
      <c r="AA337" s="83"/>
      <c r="AB337" s="123"/>
      <c r="AC337" s="83"/>
      <c r="AD337" s="123"/>
      <c r="AE337" s="83"/>
      <c r="AF337" s="123"/>
      <c r="AG337" s="243"/>
      <c r="AH337" s="33"/>
      <c r="AI337" s="245"/>
      <c r="AJ337" s="125"/>
      <c r="AK337" s="92"/>
      <c r="AL337" s="126"/>
      <c r="AM337" s="91"/>
      <c r="AN337" s="91"/>
      <c r="AO337" s="197">
        <f t="shared" si="23"/>
        <v>0</v>
      </c>
      <c r="AP337" s="126"/>
      <c r="AQ337" s="217"/>
      <c r="AR337" s="201"/>
      <c r="AS337" s="266"/>
      <c r="AT337" s="94"/>
      <c r="AU337" s="84"/>
      <c r="AV337" s="80"/>
      <c r="AW337" s="81"/>
      <c r="AX337" s="77"/>
      <c r="AY337" s="107"/>
      <c r="AZ337" s="220">
        <f t="shared" si="20"/>
        <v>0</v>
      </c>
      <c r="BA337" s="220">
        <f t="shared" si="21"/>
        <v>0</v>
      </c>
    </row>
    <row r="338" spans="1:53" ht="50.1" customHeight="1" x14ac:dyDescent="0.25">
      <c r="A338" s="17">
        <f t="shared" si="22"/>
        <v>324</v>
      </c>
      <c r="B338" s="229"/>
      <c r="C338" s="222"/>
      <c r="D338" s="112"/>
      <c r="E338" s="128"/>
      <c r="F338" s="183"/>
      <c r="G338" s="130"/>
      <c r="H338" s="131"/>
      <c r="I338" s="132"/>
      <c r="J338" s="189"/>
      <c r="K338" s="133"/>
      <c r="L338" s="134"/>
      <c r="M338" s="334"/>
      <c r="N338" s="343"/>
      <c r="O338" s="193"/>
      <c r="P338" s="191"/>
      <c r="Q338" s="193"/>
      <c r="R338" s="191"/>
      <c r="S338" s="296"/>
      <c r="T338" s="302"/>
      <c r="U338" s="306"/>
      <c r="V338" s="308"/>
      <c r="W338" s="249"/>
      <c r="X338" s="344"/>
      <c r="Y338" s="337"/>
      <c r="Z338" s="33"/>
      <c r="AA338" s="83"/>
      <c r="AB338" s="33"/>
      <c r="AC338" s="83"/>
      <c r="AD338" s="33"/>
      <c r="AE338" s="83"/>
      <c r="AF338" s="33"/>
      <c r="AG338" s="244"/>
      <c r="AH338" s="83"/>
      <c r="AI338" s="246"/>
      <c r="AJ338" s="102"/>
      <c r="AK338" s="92"/>
      <c r="AL338" s="91"/>
      <c r="AM338" s="92"/>
      <c r="AN338" s="351"/>
      <c r="AO338" s="197">
        <f t="shared" si="23"/>
        <v>0</v>
      </c>
      <c r="AP338" s="91"/>
      <c r="AQ338" s="217"/>
      <c r="AR338" s="196"/>
      <c r="AS338" s="265"/>
      <c r="AT338" s="94"/>
      <c r="AU338" s="84"/>
      <c r="AV338" s="136"/>
      <c r="AW338" s="81"/>
      <c r="AX338" s="137"/>
      <c r="AY338" s="138"/>
      <c r="AZ338" s="220">
        <f t="shared" si="20"/>
        <v>0</v>
      </c>
      <c r="BA338" s="220">
        <f t="shared" si="21"/>
        <v>0</v>
      </c>
    </row>
    <row r="339" spans="1:53" ht="50.1" customHeight="1" x14ac:dyDescent="0.25">
      <c r="A339" s="17">
        <f t="shared" si="22"/>
        <v>325</v>
      </c>
      <c r="B339" s="228"/>
      <c r="C339" s="221"/>
      <c r="D339" s="88"/>
      <c r="E339" s="100"/>
      <c r="F339" s="95"/>
      <c r="G339" s="114"/>
      <c r="H339" s="96"/>
      <c r="I339" s="97"/>
      <c r="J339" s="98"/>
      <c r="K339" s="101"/>
      <c r="L339" s="124"/>
      <c r="M339" s="333"/>
      <c r="N339" s="341"/>
      <c r="O339" s="190"/>
      <c r="P339" s="191"/>
      <c r="Q339" s="190"/>
      <c r="R339" s="191"/>
      <c r="S339" s="294"/>
      <c r="T339" s="300"/>
      <c r="U339" s="306"/>
      <c r="V339" s="308"/>
      <c r="W339" s="248"/>
      <c r="X339" s="342"/>
      <c r="Y339" s="337"/>
      <c r="Z339" s="123"/>
      <c r="AA339" s="83"/>
      <c r="AB339" s="123"/>
      <c r="AC339" s="83"/>
      <c r="AD339" s="123"/>
      <c r="AE339" s="83"/>
      <c r="AF339" s="123"/>
      <c r="AG339" s="243"/>
      <c r="AH339" s="33"/>
      <c r="AI339" s="245"/>
      <c r="AJ339" s="125"/>
      <c r="AK339" s="92"/>
      <c r="AL339" s="126"/>
      <c r="AM339" s="91"/>
      <c r="AN339" s="91"/>
      <c r="AO339" s="197">
        <f t="shared" si="23"/>
        <v>0</v>
      </c>
      <c r="AP339" s="126"/>
      <c r="AQ339" s="217"/>
      <c r="AR339" s="201"/>
      <c r="AS339" s="266"/>
      <c r="AT339" s="94"/>
      <c r="AU339" s="84"/>
      <c r="AV339" s="80"/>
      <c r="AW339" s="81"/>
      <c r="AX339" s="77"/>
      <c r="AY339" s="107"/>
      <c r="AZ339" s="220">
        <f t="shared" si="20"/>
        <v>0</v>
      </c>
      <c r="BA339" s="220">
        <f t="shared" si="21"/>
        <v>0</v>
      </c>
    </row>
    <row r="340" spans="1:53" ht="50.1" customHeight="1" x14ac:dyDescent="0.25">
      <c r="A340" s="17">
        <f t="shared" si="22"/>
        <v>326</v>
      </c>
      <c r="B340" s="229"/>
      <c r="C340" s="222"/>
      <c r="D340" s="112"/>
      <c r="E340" s="128"/>
      <c r="F340" s="183"/>
      <c r="G340" s="130"/>
      <c r="H340" s="131"/>
      <c r="I340" s="132"/>
      <c r="J340" s="189"/>
      <c r="K340" s="133"/>
      <c r="L340" s="134"/>
      <c r="M340" s="334"/>
      <c r="N340" s="343"/>
      <c r="O340" s="193"/>
      <c r="P340" s="191"/>
      <c r="Q340" s="193"/>
      <c r="R340" s="191"/>
      <c r="S340" s="296"/>
      <c r="T340" s="302"/>
      <c r="U340" s="306"/>
      <c r="V340" s="308"/>
      <c r="W340" s="285"/>
      <c r="X340" s="345"/>
      <c r="Y340" s="337"/>
      <c r="Z340" s="33"/>
      <c r="AA340" s="83"/>
      <c r="AB340" s="33"/>
      <c r="AC340" s="83"/>
      <c r="AD340" s="33"/>
      <c r="AE340" s="83"/>
      <c r="AF340" s="33"/>
      <c r="AG340" s="244"/>
      <c r="AH340" s="83"/>
      <c r="AI340" s="246"/>
      <c r="AJ340" s="102"/>
      <c r="AK340" s="92"/>
      <c r="AL340" s="91"/>
      <c r="AM340" s="92"/>
      <c r="AN340" s="351"/>
      <c r="AO340" s="197">
        <f t="shared" si="23"/>
        <v>0</v>
      </c>
      <c r="AP340" s="91"/>
      <c r="AQ340" s="217"/>
      <c r="AR340" s="196"/>
      <c r="AS340" s="265"/>
      <c r="AT340" s="94"/>
      <c r="AU340" s="84"/>
      <c r="AV340" s="136"/>
      <c r="AW340" s="81"/>
      <c r="AX340" s="137"/>
      <c r="AY340" s="138"/>
      <c r="AZ340" s="220">
        <f t="shared" si="20"/>
        <v>0</v>
      </c>
      <c r="BA340" s="220">
        <f t="shared" si="21"/>
        <v>0</v>
      </c>
    </row>
    <row r="341" spans="1:53" ht="50.1" customHeight="1" x14ac:dyDescent="0.25">
      <c r="A341" s="17">
        <f t="shared" si="22"/>
        <v>327</v>
      </c>
      <c r="B341" s="228"/>
      <c r="C341" s="221"/>
      <c r="D341" s="88"/>
      <c r="E341" s="100"/>
      <c r="F341" s="95"/>
      <c r="G341" s="114"/>
      <c r="H341" s="96"/>
      <c r="I341" s="97"/>
      <c r="J341" s="98"/>
      <c r="K341" s="101"/>
      <c r="L341" s="124"/>
      <c r="M341" s="333"/>
      <c r="N341" s="341"/>
      <c r="O341" s="190"/>
      <c r="P341" s="191"/>
      <c r="Q341" s="190"/>
      <c r="R341" s="191"/>
      <c r="S341" s="294"/>
      <c r="T341" s="300"/>
      <c r="U341" s="306"/>
      <c r="V341" s="308"/>
      <c r="W341" s="248"/>
      <c r="X341" s="342"/>
      <c r="Y341" s="337"/>
      <c r="Z341" s="123"/>
      <c r="AA341" s="83"/>
      <c r="AB341" s="123"/>
      <c r="AC341" s="83"/>
      <c r="AD341" s="123"/>
      <c r="AE341" s="83"/>
      <c r="AF341" s="123"/>
      <c r="AG341" s="243"/>
      <c r="AH341" s="33"/>
      <c r="AI341" s="245"/>
      <c r="AJ341" s="125"/>
      <c r="AK341" s="92"/>
      <c r="AL341" s="126"/>
      <c r="AM341" s="91"/>
      <c r="AN341" s="91"/>
      <c r="AO341" s="197">
        <f t="shared" si="23"/>
        <v>0</v>
      </c>
      <c r="AP341" s="126"/>
      <c r="AQ341" s="217"/>
      <c r="AR341" s="201"/>
      <c r="AS341" s="266"/>
      <c r="AT341" s="94"/>
      <c r="AU341" s="84"/>
      <c r="AV341" s="80"/>
      <c r="AW341" s="81"/>
      <c r="AX341" s="77"/>
      <c r="AY341" s="107"/>
      <c r="AZ341" s="220">
        <f t="shared" si="20"/>
        <v>0</v>
      </c>
      <c r="BA341" s="220">
        <f t="shared" si="21"/>
        <v>0</v>
      </c>
    </row>
    <row r="342" spans="1:53" ht="50.1" customHeight="1" x14ac:dyDescent="0.25">
      <c r="A342" s="17">
        <f t="shared" si="22"/>
        <v>328</v>
      </c>
      <c r="B342" s="229"/>
      <c r="C342" s="222"/>
      <c r="D342" s="112"/>
      <c r="E342" s="128"/>
      <c r="F342" s="183"/>
      <c r="G342" s="130"/>
      <c r="H342" s="131"/>
      <c r="I342" s="132"/>
      <c r="J342" s="189"/>
      <c r="K342" s="133"/>
      <c r="L342" s="134"/>
      <c r="M342" s="334"/>
      <c r="N342" s="343"/>
      <c r="O342" s="193"/>
      <c r="P342" s="191"/>
      <c r="Q342" s="193"/>
      <c r="R342" s="191"/>
      <c r="S342" s="296"/>
      <c r="T342" s="302"/>
      <c r="U342" s="306"/>
      <c r="V342" s="308"/>
      <c r="W342" s="249"/>
      <c r="X342" s="344"/>
      <c r="Y342" s="337"/>
      <c r="Z342" s="33"/>
      <c r="AA342" s="83"/>
      <c r="AB342" s="33"/>
      <c r="AC342" s="83"/>
      <c r="AD342" s="33"/>
      <c r="AE342" s="83"/>
      <c r="AF342" s="33"/>
      <c r="AG342" s="244"/>
      <c r="AH342" s="83"/>
      <c r="AI342" s="246"/>
      <c r="AJ342" s="102"/>
      <c r="AK342" s="92"/>
      <c r="AL342" s="91"/>
      <c r="AM342" s="92"/>
      <c r="AN342" s="351"/>
      <c r="AO342" s="197">
        <f t="shared" si="23"/>
        <v>0</v>
      </c>
      <c r="AP342" s="91"/>
      <c r="AQ342" s="217"/>
      <c r="AR342" s="196"/>
      <c r="AS342" s="265"/>
      <c r="AT342" s="94"/>
      <c r="AU342" s="84"/>
      <c r="AV342" s="136"/>
      <c r="AW342" s="81"/>
      <c r="AX342" s="137"/>
      <c r="AY342" s="138"/>
      <c r="AZ342" s="220">
        <f t="shared" si="20"/>
        <v>0</v>
      </c>
      <c r="BA342" s="220">
        <f t="shared" si="21"/>
        <v>0</v>
      </c>
    </row>
    <row r="343" spans="1:53" ht="50.1" customHeight="1" x14ac:dyDescent="0.25">
      <c r="A343" s="17">
        <f t="shared" si="22"/>
        <v>329</v>
      </c>
      <c r="B343" s="228"/>
      <c r="C343" s="221"/>
      <c r="D343" s="88"/>
      <c r="E343" s="100"/>
      <c r="F343" s="95"/>
      <c r="G343" s="114"/>
      <c r="H343" s="96"/>
      <c r="I343" s="97"/>
      <c r="J343" s="98"/>
      <c r="K343" s="101"/>
      <c r="L343" s="124"/>
      <c r="M343" s="333"/>
      <c r="N343" s="341"/>
      <c r="O343" s="190"/>
      <c r="P343" s="191"/>
      <c r="Q343" s="190"/>
      <c r="R343" s="191"/>
      <c r="S343" s="294"/>
      <c r="T343" s="300"/>
      <c r="U343" s="306"/>
      <c r="V343" s="308"/>
      <c r="W343" s="248"/>
      <c r="X343" s="342"/>
      <c r="Y343" s="337"/>
      <c r="Z343" s="123"/>
      <c r="AA343" s="83"/>
      <c r="AB343" s="123"/>
      <c r="AC343" s="83"/>
      <c r="AD343" s="123"/>
      <c r="AE343" s="83"/>
      <c r="AF343" s="123"/>
      <c r="AG343" s="243"/>
      <c r="AH343" s="33"/>
      <c r="AI343" s="245"/>
      <c r="AJ343" s="125"/>
      <c r="AK343" s="92"/>
      <c r="AL343" s="126"/>
      <c r="AM343" s="91"/>
      <c r="AN343" s="91"/>
      <c r="AO343" s="197">
        <f t="shared" si="23"/>
        <v>0</v>
      </c>
      <c r="AP343" s="126"/>
      <c r="AQ343" s="217"/>
      <c r="AR343" s="201"/>
      <c r="AS343" s="266"/>
      <c r="AT343" s="94"/>
      <c r="AU343" s="84"/>
      <c r="AV343" s="80"/>
      <c r="AW343" s="81"/>
      <c r="AX343" s="77"/>
      <c r="AY343" s="107"/>
      <c r="AZ343" s="220">
        <f t="shared" si="20"/>
        <v>0</v>
      </c>
      <c r="BA343" s="220">
        <f t="shared" si="21"/>
        <v>0</v>
      </c>
    </row>
    <row r="344" spans="1:53" ht="50.1" customHeight="1" x14ac:dyDescent="0.25">
      <c r="A344" s="17">
        <f t="shared" si="22"/>
        <v>330</v>
      </c>
      <c r="B344" s="229"/>
      <c r="C344" s="222"/>
      <c r="D344" s="112"/>
      <c r="E344" s="128"/>
      <c r="F344" s="183"/>
      <c r="G344" s="130"/>
      <c r="H344" s="131"/>
      <c r="I344" s="132"/>
      <c r="J344" s="189"/>
      <c r="K344" s="133"/>
      <c r="L344" s="134"/>
      <c r="M344" s="334"/>
      <c r="N344" s="343"/>
      <c r="O344" s="193"/>
      <c r="P344" s="191"/>
      <c r="Q344" s="193"/>
      <c r="R344" s="191"/>
      <c r="S344" s="296"/>
      <c r="T344" s="302"/>
      <c r="U344" s="306"/>
      <c r="V344" s="308"/>
      <c r="W344" s="249"/>
      <c r="X344" s="344"/>
      <c r="Y344" s="337"/>
      <c r="Z344" s="33"/>
      <c r="AA344" s="83"/>
      <c r="AB344" s="33"/>
      <c r="AC344" s="83"/>
      <c r="AD344" s="33"/>
      <c r="AE344" s="83"/>
      <c r="AF344" s="33"/>
      <c r="AG344" s="244"/>
      <c r="AH344" s="83"/>
      <c r="AI344" s="246"/>
      <c r="AJ344" s="102"/>
      <c r="AK344" s="92"/>
      <c r="AL344" s="91"/>
      <c r="AM344" s="92"/>
      <c r="AN344" s="351"/>
      <c r="AO344" s="197">
        <f t="shared" si="23"/>
        <v>0</v>
      </c>
      <c r="AP344" s="91"/>
      <c r="AQ344" s="217"/>
      <c r="AR344" s="196"/>
      <c r="AS344" s="265"/>
      <c r="AT344" s="94"/>
      <c r="AU344" s="84"/>
      <c r="AV344" s="136"/>
      <c r="AW344" s="81"/>
      <c r="AX344" s="137"/>
      <c r="AY344" s="138"/>
      <c r="AZ344" s="220">
        <f t="shared" si="20"/>
        <v>0</v>
      </c>
      <c r="BA344" s="220">
        <f t="shared" si="21"/>
        <v>0</v>
      </c>
    </row>
    <row r="345" spans="1:53" ht="50.1" customHeight="1" x14ac:dyDescent="0.25">
      <c r="A345" s="17">
        <f t="shared" si="22"/>
        <v>331</v>
      </c>
      <c r="B345" s="228"/>
      <c r="C345" s="221"/>
      <c r="D345" s="88"/>
      <c r="E345" s="100"/>
      <c r="F345" s="95"/>
      <c r="G345" s="114"/>
      <c r="H345" s="96"/>
      <c r="I345" s="97"/>
      <c r="J345" s="98"/>
      <c r="K345" s="101"/>
      <c r="L345" s="124"/>
      <c r="M345" s="333"/>
      <c r="N345" s="341"/>
      <c r="O345" s="190"/>
      <c r="P345" s="191"/>
      <c r="Q345" s="190"/>
      <c r="R345" s="191"/>
      <c r="S345" s="294"/>
      <c r="T345" s="300"/>
      <c r="U345" s="306"/>
      <c r="V345" s="308"/>
      <c r="W345" s="248"/>
      <c r="X345" s="342"/>
      <c r="Y345" s="337"/>
      <c r="Z345" s="123"/>
      <c r="AA345" s="83"/>
      <c r="AB345" s="123"/>
      <c r="AC345" s="83"/>
      <c r="AD345" s="123"/>
      <c r="AE345" s="83"/>
      <c r="AF345" s="123"/>
      <c r="AG345" s="243"/>
      <c r="AH345" s="33"/>
      <c r="AI345" s="245"/>
      <c r="AJ345" s="125"/>
      <c r="AK345" s="92"/>
      <c r="AL345" s="126"/>
      <c r="AM345" s="91"/>
      <c r="AN345" s="91"/>
      <c r="AO345" s="197">
        <f t="shared" si="23"/>
        <v>0</v>
      </c>
      <c r="AP345" s="126"/>
      <c r="AQ345" s="217"/>
      <c r="AR345" s="201"/>
      <c r="AS345" s="266"/>
      <c r="AT345" s="94"/>
      <c r="AU345" s="84"/>
      <c r="AV345" s="80"/>
      <c r="AW345" s="81"/>
      <c r="AX345" s="77"/>
      <c r="AY345" s="107"/>
      <c r="AZ345" s="220">
        <f t="shared" si="20"/>
        <v>0</v>
      </c>
      <c r="BA345" s="220">
        <f t="shared" si="21"/>
        <v>0</v>
      </c>
    </row>
    <row r="346" spans="1:53" ht="50.1" customHeight="1" x14ac:dyDescent="0.25">
      <c r="A346" s="17">
        <f t="shared" si="22"/>
        <v>332</v>
      </c>
      <c r="B346" s="229"/>
      <c r="C346" s="222"/>
      <c r="D346" s="112"/>
      <c r="E346" s="128"/>
      <c r="F346" s="183"/>
      <c r="G346" s="130"/>
      <c r="H346" s="131"/>
      <c r="I346" s="132"/>
      <c r="J346" s="189"/>
      <c r="K346" s="133"/>
      <c r="L346" s="134"/>
      <c r="M346" s="334"/>
      <c r="N346" s="343"/>
      <c r="O346" s="193"/>
      <c r="P346" s="191"/>
      <c r="Q346" s="193"/>
      <c r="R346" s="191"/>
      <c r="S346" s="296"/>
      <c r="T346" s="302"/>
      <c r="U346" s="306"/>
      <c r="V346" s="308"/>
      <c r="W346" s="249"/>
      <c r="X346" s="344"/>
      <c r="Y346" s="337"/>
      <c r="Z346" s="33"/>
      <c r="AA346" s="83"/>
      <c r="AB346" s="33"/>
      <c r="AC346" s="83"/>
      <c r="AD346" s="33"/>
      <c r="AE346" s="83"/>
      <c r="AF346" s="33"/>
      <c r="AG346" s="244"/>
      <c r="AH346" s="83"/>
      <c r="AI346" s="246"/>
      <c r="AJ346" s="102"/>
      <c r="AK346" s="92"/>
      <c r="AL346" s="91"/>
      <c r="AM346" s="92"/>
      <c r="AN346" s="351"/>
      <c r="AO346" s="197">
        <f t="shared" si="23"/>
        <v>0</v>
      </c>
      <c r="AP346" s="91"/>
      <c r="AQ346" s="217"/>
      <c r="AR346" s="196"/>
      <c r="AS346" s="265"/>
      <c r="AT346" s="94"/>
      <c r="AU346" s="84"/>
      <c r="AV346" s="136"/>
      <c r="AW346" s="81"/>
      <c r="AX346" s="137"/>
      <c r="AY346" s="138"/>
      <c r="AZ346" s="220">
        <f t="shared" si="20"/>
        <v>0</v>
      </c>
      <c r="BA346" s="220">
        <f t="shared" si="21"/>
        <v>0</v>
      </c>
    </row>
    <row r="347" spans="1:53" ht="50.1" customHeight="1" x14ac:dyDescent="0.25">
      <c r="A347" s="17">
        <f t="shared" si="22"/>
        <v>333</v>
      </c>
      <c r="B347" s="228"/>
      <c r="C347" s="221"/>
      <c r="D347" s="88"/>
      <c r="E347" s="100"/>
      <c r="F347" s="95"/>
      <c r="G347" s="114"/>
      <c r="H347" s="96"/>
      <c r="I347" s="97"/>
      <c r="J347" s="98"/>
      <c r="K347" s="101"/>
      <c r="L347" s="124"/>
      <c r="M347" s="333"/>
      <c r="N347" s="341"/>
      <c r="O347" s="190"/>
      <c r="P347" s="191"/>
      <c r="Q347" s="190"/>
      <c r="R347" s="191"/>
      <c r="S347" s="294"/>
      <c r="T347" s="300"/>
      <c r="U347" s="306"/>
      <c r="V347" s="308"/>
      <c r="W347" s="248"/>
      <c r="X347" s="342"/>
      <c r="Y347" s="337"/>
      <c r="Z347" s="123"/>
      <c r="AA347" s="83"/>
      <c r="AB347" s="123"/>
      <c r="AC347" s="83"/>
      <c r="AD347" s="123"/>
      <c r="AE347" s="83"/>
      <c r="AF347" s="123"/>
      <c r="AG347" s="243"/>
      <c r="AH347" s="33"/>
      <c r="AI347" s="245"/>
      <c r="AJ347" s="125"/>
      <c r="AK347" s="92"/>
      <c r="AL347" s="126"/>
      <c r="AM347" s="91"/>
      <c r="AN347" s="91"/>
      <c r="AO347" s="197">
        <f t="shared" si="23"/>
        <v>0</v>
      </c>
      <c r="AP347" s="126"/>
      <c r="AQ347" s="217"/>
      <c r="AR347" s="201"/>
      <c r="AS347" s="266"/>
      <c r="AT347" s="94"/>
      <c r="AU347" s="84"/>
      <c r="AV347" s="80"/>
      <c r="AW347" s="81"/>
      <c r="AX347" s="77"/>
      <c r="AY347" s="107"/>
      <c r="AZ347" s="220">
        <f t="shared" si="20"/>
        <v>0</v>
      </c>
      <c r="BA347" s="220">
        <f t="shared" si="21"/>
        <v>0</v>
      </c>
    </row>
    <row r="348" spans="1:53" ht="50.1" customHeight="1" x14ac:dyDescent="0.25">
      <c r="A348" s="17">
        <f t="shared" si="22"/>
        <v>334</v>
      </c>
      <c r="B348" s="229"/>
      <c r="C348" s="222"/>
      <c r="D348" s="112"/>
      <c r="E348" s="128"/>
      <c r="F348" s="183"/>
      <c r="G348" s="130"/>
      <c r="H348" s="131"/>
      <c r="I348" s="132"/>
      <c r="J348" s="189"/>
      <c r="K348" s="133"/>
      <c r="L348" s="134"/>
      <c r="M348" s="334"/>
      <c r="N348" s="343"/>
      <c r="O348" s="193"/>
      <c r="P348" s="191"/>
      <c r="Q348" s="193"/>
      <c r="R348" s="191"/>
      <c r="S348" s="296"/>
      <c r="T348" s="302"/>
      <c r="U348" s="306"/>
      <c r="V348" s="308"/>
      <c r="W348" s="249"/>
      <c r="X348" s="344"/>
      <c r="Y348" s="337"/>
      <c r="Z348" s="33"/>
      <c r="AA348" s="83"/>
      <c r="AB348" s="33"/>
      <c r="AC348" s="83"/>
      <c r="AD348" s="33"/>
      <c r="AE348" s="83"/>
      <c r="AF348" s="33"/>
      <c r="AG348" s="244"/>
      <c r="AH348" s="83"/>
      <c r="AI348" s="246"/>
      <c r="AJ348" s="102"/>
      <c r="AK348" s="92"/>
      <c r="AL348" s="91"/>
      <c r="AM348" s="92"/>
      <c r="AN348" s="351"/>
      <c r="AO348" s="197">
        <f t="shared" si="23"/>
        <v>0</v>
      </c>
      <c r="AP348" s="91"/>
      <c r="AQ348" s="217"/>
      <c r="AR348" s="196"/>
      <c r="AS348" s="265"/>
      <c r="AT348" s="94"/>
      <c r="AU348" s="84"/>
      <c r="AV348" s="136"/>
      <c r="AW348" s="81"/>
      <c r="AX348" s="137"/>
      <c r="AY348" s="138"/>
      <c r="AZ348" s="220">
        <f t="shared" si="20"/>
        <v>0</v>
      </c>
      <c r="BA348" s="220">
        <f t="shared" si="21"/>
        <v>0</v>
      </c>
    </row>
    <row r="349" spans="1:53" ht="50.1" customHeight="1" x14ac:dyDescent="0.25">
      <c r="A349" s="17">
        <f t="shared" si="22"/>
        <v>335</v>
      </c>
      <c r="B349" s="228"/>
      <c r="C349" s="221"/>
      <c r="D349" s="88"/>
      <c r="E349" s="100"/>
      <c r="F349" s="95"/>
      <c r="G349" s="114"/>
      <c r="H349" s="96"/>
      <c r="I349" s="97"/>
      <c r="J349" s="98"/>
      <c r="K349" s="101"/>
      <c r="L349" s="124"/>
      <c r="M349" s="333"/>
      <c r="N349" s="341"/>
      <c r="O349" s="190"/>
      <c r="P349" s="191"/>
      <c r="Q349" s="190"/>
      <c r="R349" s="191"/>
      <c r="S349" s="294"/>
      <c r="T349" s="300"/>
      <c r="U349" s="306"/>
      <c r="V349" s="308"/>
      <c r="W349" s="248"/>
      <c r="X349" s="342"/>
      <c r="Y349" s="337"/>
      <c r="Z349" s="123"/>
      <c r="AA349" s="83"/>
      <c r="AB349" s="123"/>
      <c r="AC349" s="83"/>
      <c r="AD349" s="123"/>
      <c r="AE349" s="83"/>
      <c r="AF349" s="123"/>
      <c r="AG349" s="243"/>
      <c r="AH349" s="33"/>
      <c r="AI349" s="245"/>
      <c r="AJ349" s="125"/>
      <c r="AK349" s="92"/>
      <c r="AL349" s="126"/>
      <c r="AM349" s="91"/>
      <c r="AN349" s="91"/>
      <c r="AO349" s="197">
        <f t="shared" si="23"/>
        <v>0</v>
      </c>
      <c r="AP349" s="126"/>
      <c r="AQ349" s="217"/>
      <c r="AR349" s="201"/>
      <c r="AS349" s="266"/>
      <c r="AT349" s="94"/>
      <c r="AU349" s="84"/>
      <c r="AV349" s="80"/>
      <c r="AW349" s="81"/>
      <c r="AX349" s="77"/>
      <c r="AY349" s="107"/>
      <c r="AZ349" s="220">
        <f t="shared" si="20"/>
        <v>0</v>
      </c>
      <c r="BA349" s="220">
        <f t="shared" si="21"/>
        <v>0</v>
      </c>
    </row>
    <row r="350" spans="1:53" ht="50.1" customHeight="1" x14ac:dyDescent="0.25">
      <c r="A350" s="17">
        <f t="shared" si="22"/>
        <v>336</v>
      </c>
      <c r="B350" s="229"/>
      <c r="C350" s="222"/>
      <c r="D350" s="112"/>
      <c r="E350" s="128"/>
      <c r="F350" s="183"/>
      <c r="G350" s="130"/>
      <c r="H350" s="131"/>
      <c r="I350" s="132"/>
      <c r="J350" s="189"/>
      <c r="K350" s="133"/>
      <c r="L350" s="134"/>
      <c r="M350" s="334"/>
      <c r="N350" s="343"/>
      <c r="O350" s="193"/>
      <c r="P350" s="191"/>
      <c r="Q350" s="193"/>
      <c r="R350" s="191"/>
      <c r="S350" s="296"/>
      <c r="T350" s="302"/>
      <c r="U350" s="306"/>
      <c r="V350" s="308"/>
      <c r="W350" s="249"/>
      <c r="X350" s="344"/>
      <c r="Y350" s="337"/>
      <c r="Z350" s="33"/>
      <c r="AA350" s="83"/>
      <c r="AB350" s="33"/>
      <c r="AC350" s="83"/>
      <c r="AD350" s="33"/>
      <c r="AE350" s="83"/>
      <c r="AF350" s="33"/>
      <c r="AG350" s="244"/>
      <c r="AH350" s="83"/>
      <c r="AI350" s="246"/>
      <c r="AJ350" s="195"/>
      <c r="AK350" s="92"/>
      <c r="AL350" s="91"/>
      <c r="AM350" s="92"/>
      <c r="AN350" s="351"/>
      <c r="AO350" s="197">
        <f t="shared" si="23"/>
        <v>0</v>
      </c>
      <c r="AP350" s="91"/>
      <c r="AQ350" s="217"/>
      <c r="AR350" s="196"/>
      <c r="AS350" s="265"/>
      <c r="AT350" s="94"/>
      <c r="AU350" s="84"/>
      <c r="AV350" s="136"/>
      <c r="AW350" s="81"/>
      <c r="AX350" s="137"/>
      <c r="AY350" s="138"/>
      <c r="AZ350" s="220">
        <f t="shared" si="20"/>
        <v>0</v>
      </c>
      <c r="BA350" s="220">
        <f t="shared" si="21"/>
        <v>0</v>
      </c>
    </row>
    <row r="351" spans="1:53" ht="50.1" customHeight="1" x14ac:dyDescent="0.25">
      <c r="A351" s="17">
        <f t="shared" si="22"/>
        <v>337</v>
      </c>
      <c r="B351" s="228"/>
      <c r="C351" s="221"/>
      <c r="D351" s="88"/>
      <c r="E351" s="100"/>
      <c r="F351" s="95"/>
      <c r="G351" s="114"/>
      <c r="H351" s="96"/>
      <c r="I351" s="97"/>
      <c r="J351" s="98"/>
      <c r="K351" s="101"/>
      <c r="L351" s="124"/>
      <c r="M351" s="333"/>
      <c r="N351" s="341"/>
      <c r="O351" s="190"/>
      <c r="P351" s="191"/>
      <c r="Q351" s="190"/>
      <c r="R351" s="191"/>
      <c r="S351" s="294"/>
      <c r="T351" s="300"/>
      <c r="U351" s="306"/>
      <c r="V351" s="308"/>
      <c r="W351" s="248"/>
      <c r="X351" s="342"/>
      <c r="Y351" s="337"/>
      <c r="Z351" s="123"/>
      <c r="AA351" s="83"/>
      <c r="AB351" s="123"/>
      <c r="AC351" s="83"/>
      <c r="AD351" s="123"/>
      <c r="AE351" s="83"/>
      <c r="AF351" s="123"/>
      <c r="AG351" s="243"/>
      <c r="AH351" s="33"/>
      <c r="AI351" s="245"/>
      <c r="AJ351" s="198"/>
      <c r="AK351" s="92"/>
      <c r="AL351" s="126"/>
      <c r="AM351" s="91"/>
      <c r="AN351" s="91"/>
      <c r="AO351" s="197">
        <f t="shared" si="23"/>
        <v>0</v>
      </c>
      <c r="AP351" s="126"/>
      <c r="AQ351" s="217"/>
      <c r="AR351" s="201"/>
      <c r="AS351" s="266"/>
      <c r="AT351" s="94"/>
      <c r="AU351" s="84"/>
      <c r="AV351" s="80"/>
      <c r="AW351" s="81"/>
      <c r="AX351" s="77"/>
      <c r="AY351" s="107"/>
      <c r="AZ351" s="220">
        <f t="shared" si="20"/>
        <v>0</v>
      </c>
      <c r="BA351" s="220">
        <f t="shared" si="21"/>
        <v>0</v>
      </c>
    </row>
    <row r="352" spans="1:53" ht="50.1" customHeight="1" x14ac:dyDescent="0.25">
      <c r="A352" s="17">
        <f t="shared" si="22"/>
        <v>338</v>
      </c>
      <c r="B352" s="229"/>
      <c r="C352" s="222"/>
      <c r="D352" s="112"/>
      <c r="E352" s="128"/>
      <c r="F352" s="183"/>
      <c r="G352" s="130"/>
      <c r="H352" s="131"/>
      <c r="I352" s="132"/>
      <c r="J352" s="189"/>
      <c r="K352" s="133"/>
      <c r="L352" s="134"/>
      <c r="M352" s="334"/>
      <c r="N352" s="343"/>
      <c r="O352" s="193"/>
      <c r="P352" s="191"/>
      <c r="Q352" s="193"/>
      <c r="R352" s="191"/>
      <c r="S352" s="296"/>
      <c r="T352" s="302"/>
      <c r="U352" s="306"/>
      <c r="V352" s="308"/>
      <c r="W352" s="249"/>
      <c r="X352" s="344"/>
      <c r="Y352" s="337"/>
      <c r="Z352" s="33"/>
      <c r="AA352" s="83"/>
      <c r="AB352" s="33"/>
      <c r="AC352" s="83"/>
      <c r="AD352" s="33"/>
      <c r="AE352" s="83"/>
      <c r="AF352" s="33"/>
      <c r="AG352" s="244"/>
      <c r="AH352" s="83"/>
      <c r="AI352" s="246"/>
      <c r="AJ352" s="195"/>
      <c r="AK352" s="92"/>
      <c r="AL352" s="91"/>
      <c r="AM352" s="92"/>
      <c r="AN352" s="351"/>
      <c r="AO352" s="197">
        <f t="shared" si="23"/>
        <v>0</v>
      </c>
      <c r="AP352" s="91"/>
      <c r="AQ352" s="217"/>
      <c r="AR352" s="196"/>
      <c r="AS352" s="265"/>
      <c r="AT352" s="94"/>
      <c r="AU352" s="84"/>
      <c r="AV352" s="136"/>
      <c r="AW352" s="81"/>
      <c r="AX352" s="137"/>
      <c r="AY352" s="138"/>
      <c r="AZ352" s="220">
        <f t="shared" si="20"/>
        <v>0</v>
      </c>
      <c r="BA352" s="220">
        <f t="shared" si="21"/>
        <v>0</v>
      </c>
    </row>
    <row r="353" spans="1:53" ht="50.1" customHeight="1" x14ac:dyDescent="0.25">
      <c r="A353" s="17">
        <f t="shared" si="22"/>
        <v>339</v>
      </c>
      <c r="B353" s="228"/>
      <c r="C353" s="221"/>
      <c r="D353" s="88"/>
      <c r="E353" s="100"/>
      <c r="F353" s="95"/>
      <c r="G353" s="114"/>
      <c r="H353" s="96"/>
      <c r="I353" s="97"/>
      <c r="J353" s="98"/>
      <c r="K353" s="101"/>
      <c r="L353" s="124"/>
      <c r="M353" s="333"/>
      <c r="N353" s="341"/>
      <c r="O353" s="190"/>
      <c r="P353" s="191"/>
      <c r="Q353" s="190"/>
      <c r="R353" s="191"/>
      <c r="S353" s="294"/>
      <c r="T353" s="300"/>
      <c r="U353" s="306"/>
      <c r="V353" s="308"/>
      <c r="W353" s="248"/>
      <c r="X353" s="342"/>
      <c r="Y353" s="337"/>
      <c r="Z353" s="123"/>
      <c r="AA353" s="83"/>
      <c r="AB353" s="123"/>
      <c r="AC353" s="83"/>
      <c r="AD353" s="123"/>
      <c r="AE353" s="83"/>
      <c r="AF353" s="123"/>
      <c r="AG353" s="243"/>
      <c r="AH353" s="33"/>
      <c r="AI353" s="245"/>
      <c r="AJ353" s="125"/>
      <c r="AK353" s="92"/>
      <c r="AL353" s="126"/>
      <c r="AM353" s="91"/>
      <c r="AN353" s="91"/>
      <c r="AO353" s="197">
        <f t="shared" si="23"/>
        <v>0</v>
      </c>
      <c r="AP353" s="126"/>
      <c r="AQ353" s="217"/>
      <c r="AR353" s="201"/>
      <c r="AS353" s="266"/>
      <c r="AT353" s="94"/>
      <c r="AU353" s="84"/>
      <c r="AV353" s="80"/>
      <c r="AW353" s="81"/>
      <c r="AX353" s="77"/>
      <c r="AY353" s="107"/>
      <c r="AZ353" s="220">
        <f t="shared" si="20"/>
        <v>0</v>
      </c>
      <c r="BA353" s="220">
        <f t="shared" si="21"/>
        <v>0</v>
      </c>
    </row>
    <row r="354" spans="1:53" ht="50.1" customHeight="1" x14ac:dyDescent="0.25">
      <c r="A354" s="17">
        <f t="shared" si="22"/>
        <v>340</v>
      </c>
      <c r="B354" s="229"/>
      <c r="C354" s="222"/>
      <c r="D354" s="112"/>
      <c r="E354" s="128"/>
      <c r="F354" s="183"/>
      <c r="G354" s="130"/>
      <c r="H354" s="131"/>
      <c r="I354" s="132"/>
      <c r="J354" s="189"/>
      <c r="K354" s="133"/>
      <c r="L354" s="134"/>
      <c r="M354" s="334"/>
      <c r="N354" s="343"/>
      <c r="O354" s="193"/>
      <c r="P354" s="191"/>
      <c r="Q354" s="193"/>
      <c r="R354" s="191"/>
      <c r="S354" s="296"/>
      <c r="T354" s="302"/>
      <c r="U354" s="306"/>
      <c r="V354" s="308"/>
      <c r="W354" s="249"/>
      <c r="X354" s="344"/>
      <c r="Y354" s="337"/>
      <c r="Z354" s="33"/>
      <c r="AA354" s="83"/>
      <c r="AB354" s="33"/>
      <c r="AC354" s="83"/>
      <c r="AD354" s="33"/>
      <c r="AE354" s="83"/>
      <c r="AF354" s="33"/>
      <c r="AG354" s="244"/>
      <c r="AH354" s="83"/>
      <c r="AI354" s="246"/>
      <c r="AJ354" s="102"/>
      <c r="AK354" s="92"/>
      <c r="AL354" s="91"/>
      <c r="AM354" s="92"/>
      <c r="AN354" s="351"/>
      <c r="AO354" s="197">
        <f t="shared" si="23"/>
        <v>0</v>
      </c>
      <c r="AP354" s="91"/>
      <c r="AQ354" s="217"/>
      <c r="AR354" s="196"/>
      <c r="AS354" s="265"/>
      <c r="AT354" s="94"/>
      <c r="AU354" s="84"/>
      <c r="AV354" s="136"/>
      <c r="AW354" s="81"/>
      <c r="AX354" s="137"/>
      <c r="AY354" s="138"/>
      <c r="AZ354" s="220">
        <f t="shared" si="20"/>
        <v>0</v>
      </c>
      <c r="BA354" s="220">
        <f t="shared" si="21"/>
        <v>0</v>
      </c>
    </row>
    <row r="355" spans="1:53" ht="50.1" customHeight="1" x14ac:dyDescent="0.25">
      <c r="A355" s="17">
        <f t="shared" si="22"/>
        <v>341</v>
      </c>
      <c r="B355" s="228"/>
      <c r="C355" s="221"/>
      <c r="D355" s="88"/>
      <c r="E355" s="100"/>
      <c r="F355" s="95"/>
      <c r="G355" s="114"/>
      <c r="H355" s="96"/>
      <c r="I355" s="97"/>
      <c r="J355" s="98"/>
      <c r="K355" s="101"/>
      <c r="L355" s="124"/>
      <c r="M355" s="333"/>
      <c r="N355" s="341"/>
      <c r="O355" s="190"/>
      <c r="P355" s="191"/>
      <c r="Q355" s="190"/>
      <c r="R355" s="191"/>
      <c r="S355" s="294"/>
      <c r="T355" s="300"/>
      <c r="U355" s="306"/>
      <c r="V355" s="308"/>
      <c r="W355" s="248"/>
      <c r="X355" s="342"/>
      <c r="Y355" s="337"/>
      <c r="Z355" s="123"/>
      <c r="AA355" s="83"/>
      <c r="AB355" s="123"/>
      <c r="AC355" s="83"/>
      <c r="AD355" s="123"/>
      <c r="AE355" s="83"/>
      <c r="AF355" s="123"/>
      <c r="AG355" s="243"/>
      <c r="AH355" s="33"/>
      <c r="AI355" s="245"/>
      <c r="AJ355" s="125"/>
      <c r="AK355" s="92"/>
      <c r="AL355" s="126"/>
      <c r="AM355" s="91"/>
      <c r="AN355" s="91"/>
      <c r="AO355" s="197">
        <f t="shared" si="23"/>
        <v>0</v>
      </c>
      <c r="AP355" s="126"/>
      <c r="AQ355" s="217"/>
      <c r="AR355" s="201"/>
      <c r="AS355" s="266"/>
      <c r="AT355" s="94"/>
      <c r="AU355" s="84"/>
      <c r="AV355" s="80"/>
      <c r="AW355" s="81"/>
      <c r="AX355" s="77"/>
      <c r="AY355" s="107"/>
      <c r="AZ355" s="220">
        <f t="shared" si="20"/>
        <v>0</v>
      </c>
      <c r="BA355" s="220">
        <f t="shared" si="21"/>
        <v>0</v>
      </c>
    </row>
    <row r="356" spans="1:53" ht="50.1" customHeight="1" x14ac:dyDescent="0.25">
      <c r="A356" s="17">
        <f t="shared" si="22"/>
        <v>342</v>
      </c>
      <c r="B356" s="229"/>
      <c r="C356" s="222"/>
      <c r="D356" s="112"/>
      <c r="E356" s="128"/>
      <c r="F356" s="183"/>
      <c r="G356" s="130"/>
      <c r="H356" s="131"/>
      <c r="I356" s="132"/>
      <c r="J356" s="189"/>
      <c r="K356" s="133"/>
      <c r="L356" s="134"/>
      <c r="M356" s="334"/>
      <c r="N356" s="343"/>
      <c r="O356" s="193"/>
      <c r="P356" s="191"/>
      <c r="Q356" s="193"/>
      <c r="R356" s="191"/>
      <c r="S356" s="296"/>
      <c r="T356" s="302"/>
      <c r="U356" s="306"/>
      <c r="V356" s="308"/>
      <c r="W356" s="249"/>
      <c r="X356" s="344"/>
      <c r="Y356" s="337"/>
      <c r="Z356" s="33"/>
      <c r="AA356" s="83"/>
      <c r="AB356" s="33"/>
      <c r="AC356" s="83"/>
      <c r="AD356" s="33"/>
      <c r="AE356" s="83"/>
      <c r="AF356" s="33"/>
      <c r="AG356" s="244"/>
      <c r="AH356" s="83"/>
      <c r="AI356" s="246"/>
      <c r="AJ356" s="102"/>
      <c r="AK356" s="92"/>
      <c r="AL356" s="91"/>
      <c r="AM356" s="92"/>
      <c r="AN356" s="351"/>
      <c r="AO356" s="197">
        <f t="shared" si="23"/>
        <v>0</v>
      </c>
      <c r="AP356" s="91"/>
      <c r="AQ356" s="217"/>
      <c r="AR356" s="83"/>
      <c r="AS356" s="267"/>
      <c r="AT356" s="94"/>
      <c r="AU356" s="84"/>
      <c r="AV356" s="136"/>
      <c r="AW356" s="81"/>
      <c r="AX356" s="137"/>
      <c r="AY356" s="138"/>
      <c r="AZ356" s="220">
        <f t="shared" si="20"/>
        <v>0</v>
      </c>
      <c r="BA356" s="220">
        <f t="shared" si="21"/>
        <v>0</v>
      </c>
    </row>
    <row r="357" spans="1:53" ht="50.1" customHeight="1" x14ac:dyDescent="0.25">
      <c r="A357" s="17">
        <f t="shared" si="22"/>
        <v>343</v>
      </c>
      <c r="B357" s="228"/>
      <c r="C357" s="221"/>
      <c r="D357" s="88"/>
      <c r="E357" s="100"/>
      <c r="F357" s="95"/>
      <c r="G357" s="114"/>
      <c r="H357" s="96"/>
      <c r="I357" s="97"/>
      <c r="J357" s="98"/>
      <c r="K357" s="101"/>
      <c r="L357" s="124"/>
      <c r="M357" s="333"/>
      <c r="N357" s="341"/>
      <c r="O357" s="190"/>
      <c r="P357" s="191"/>
      <c r="Q357" s="190"/>
      <c r="R357" s="191"/>
      <c r="S357" s="294"/>
      <c r="T357" s="300"/>
      <c r="U357" s="306"/>
      <c r="V357" s="308"/>
      <c r="W357" s="248"/>
      <c r="X357" s="342"/>
      <c r="Y357" s="337"/>
      <c r="Z357" s="123"/>
      <c r="AA357" s="83"/>
      <c r="AB357" s="123"/>
      <c r="AC357" s="83"/>
      <c r="AD357" s="123"/>
      <c r="AE357" s="83"/>
      <c r="AF357" s="123"/>
      <c r="AG357" s="243"/>
      <c r="AH357" s="33"/>
      <c r="AI357" s="245"/>
      <c r="AJ357" s="125"/>
      <c r="AK357" s="92"/>
      <c r="AL357" s="126"/>
      <c r="AM357" s="91"/>
      <c r="AN357" s="91"/>
      <c r="AO357" s="197">
        <f t="shared" si="23"/>
        <v>0</v>
      </c>
      <c r="AP357" s="126"/>
      <c r="AQ357" s="217"/>
      <c r="AR357" s="201"/>
      <c r="AS357" s="266"/>
      <c r="AT357" s="94"/>
      <c r="AU357" s="84"/>
      <c r="AV357" s="80"/>
      <c r="AW357" s="81"/>
      <c r="AX357" s="77"/>
      <c r="AY357" s="107"/>
      <c r="AZ357" s="220">
        <f t="shared" si="20"/>
        <v>0</v>
      </c>
      <c r="BA357" s="220">
        <f t="shared" si="21"/>
        <v>0</v>
      </c>
    </row>
    <row r="358" spans="1:53" ht="50.1" customHeight="1" x14ac:dyDescent="0.25">
      <c r="A358" s="17">
        <f t="shared" si="22"/>
        <v>344</v>
      </c>
      <c r="B358" s="229"/>
      <c r="C358" s="222"/>
      <c r="D358" s="112"/>
      <c r="E358" s="128"/>
      <c r="F358" s="183"/>
      <c r="G358" s="130"/>
      <c r="H358" s="131"/>
      <c r="I358" s="132"/>
      <c r="J358" s="189"/>
      <c r="K358" s="133"/>
      <c r="L358" s="134"/>
      <c r="M358" s="334"/>
      <c r="N358" s="343"/>
      <c r="O358" s="193"/>
      <c r="P358" s="191"/>
      <c r="Q358" s="193"/>
      <c r="R358" s="191"/>
      <c r="S358" s="296"/>
      <c r="T358" s="302"/>
      <c r="U358" s="306"/>
      <c r="V358" s="308"/>
      <c r="W358" s="249"/>
      <c r="X358" s="344"/>
      <c r="Y358" s="337"/>
      <c r="Z358" s="33"/>
      <c r="AA358" s="83"/>
      <c r="AB358" s="33"/>
      <c r="AC358" s="83"/>
      <c r="AD358" s="33"/>
      <c r="AE358" s="83"/>
      <c r="AF358" s="33"/>
      <c r="AG358" s="244"/>
      <c r="AH358" s="83"/>
      <c r="AI358" s="246"/>
      <c r="AJ358" s="102"/>
      <c r="AK358" s="92"/>
      <c r="AL358" s="91"/>
      <c r="AM358" s="92"/>
      <c r="AN358" s="351"/>
      <c r="AO358" s="197">
        <f t="shared" si="23"/>
        <v>0</v>
      </c>
      <c r="AP358" s="91"/>
      <c r="AQ358" s="217"/>
      <c r="AR358" s="83"/>
      <c r="AS358" s="267"/>
      <c r="AT358" s="94"/>
      <c r="AU358" s="84"/>
      <c r="AV358" s="136"/>
      <c r="AW358" s="81"/>
      <c r="AX358" s="137"/>
      <c r="AY358" s="138"/>
      <c r="AZ358" s="220">
        <f t="shared" si="20"/>
        <v>0</v>
      </c>
      <c r="BA358" s="220">
        <f t="shared" si="21"/>
        <v>0</v>
      </c>
    </row>
    <row r="359" spans="1:53" ht="50.1" customHeight="1" x14ac:dyDescent="0.25">
      <c r="A359" s="17">
        <f t="shared" si="22"/>
        <v>345</v>
      </c>
      <c r="B359" s="228"/>
      <c r="C359" s="221"/>
      <c r="D359" s="88"/>
      <c r="E359" s="100"/>
      <c r="F359" s="95"/>
      <c r="G359" s="114"/>
      <c r="H359" s="96"/>
      <c r="I359" s="97"/>
      <c r="J359" s="98"/>
      <c r="K359" s="101"/>
      <c r="L359" s="124"/>
      <c r="M359" s="333"/>
      <c r="N359" s="341"/>
      <c r="O359" s="190"/>
      <c r="P359" s="191"/>
      <c r="Q359" s="190"/>
      <c r="R359" s="191"/>
      <c r="S359" s="294"/>
      <c r="T359" s="300"/>
      <c r="U359" s="306"/>
      <c r="V359" s="308"/>
      <c r="W359" s="248"/>
      <c r="X359" s="342"/>
      <c r="Y359" s="337"/>
      <c r="Z359" s="123"/>
      <c r="AA359" s="83"/>
      <c r="AB359" s="123"/>
      <c r="AC359" s="83"/>
      <c r="AD359" s="123"/>
      <c r="AE359" s="83"/>
      <c r="AF359" s="123"/>
      <c r="AG359" s="243"/>
      <c r="AH359" s="33"/>
      <c r="AI359" s="245"/>
      <c r="AJ359" s="125"/>
      <c r="AK359" s="92"/>
      <c r="AL359" s="126"/>
      <c r="AM359" s="91"/>
      <c r="AN359" s="91"/>
      <c r="AO359" s="197">
        <f t="shared" si="23"/>
        <v>0</v>
      </c>
      <c r="AP359" s="126"/>
      <c r="AQ359" s="217"/>
      <c r="AR359" s="201"/>
      <c r="AS359" s="266"/>
      <c r="AT359" s="94"/>
      <c r="AU359" s="84"/>
      <c r="AV359" s="80"/>
      <c r="AW359" s="81"/>
      <c r="AX359" s="77"/>
      <c r="AY359" s="107"/>
      <c r="AZ359" s="220">
        <f t="shared" si="20"/>
        <v>0</v>
      </c>
      <c r="BA359" s="220">
        <f t="shared" si="21"/>
        <v>0</v>
      </c>
    </row>
    <row r="360" spans="1:53" ht="50.1" customHeight="1" x14ac:dyDescent="0.25">
      <c r="A360" s="17">
        <f t="shared" si="22"/>
        <v>346</v>
      </c>
      <c r="B360" s="229"/>
      <c r="C360" s="222"/>
      <c r="D360" s="112"/>
      <c r="E360" s="128"/>
      <c r="F360" s="183"/>
      <c r="G360" s="130"/>
      <c r="H360" s="131"/>
      <c r="I360" s="132"/>
      <c r="J360" s="189"/>
      <c r="K360" s="133"/>
      <c r="L360" s="134"/>
      <c r="M360" s="334"/>
      <c r="N360" s="343"/>
      <c r="O360" s="193"/>
      <c r="P360" s="191"/>
      <c r="Q360" s="193"/>
      <c r="R360" s="191"/>
      <c r="S360" s="296"/>
      <c r="T360" s="302"/>
      <c r="U360" s="306"/>
      <c r="V360" s="308"/>
      <c r="W360" s="249"/>
      <c r="X360" s="344"/>
      <c r="Y360" s="337"/>
      <c r="Z360" s="33"/>
      <c r="AA360" s="83"/>
      <c r="AB360" s="33"/>
      <c r="AC360" s="83"/>
      <c r="AD360" s="33"/>
      <c r="AE360" s="83"/>
      <c r="AF360" s="33"/>
      <c r="AG360" s="244"/>
      <c r="AH360" s="83"/>
      <c r="AI360" s="246"/>
      <c r="AJ360" s="102"/>
      <c r="AK360" s="92"/>
      <c r="AL360" s="91"/>
      <c r="AM360" s="92"/>
      <c r="AN360" s="351"/>
      <c r="AO360" s="197">
        <f t="shared" si="23"/>
        <v>0</v>
      </c>
      <c r="AP360" s="91"/>
      <c r="AQ360" s="217"/>
      <c r="AR360" s="83"/>
      <c r="AS360" s="267"/>
      <c r="AT360" s="94"/>
      <c r="AU360" s="84"/>
      <c r="AV360" s="136"/>
      <c r="AW360" s="81"/>
      <c r="AX360" s="137"/>
      <c r="AY360" s="138"/>
      <c r="AZ360" s="220">
        <f t="shared" si="20"/>
        <v>0</v>
      </c>
      <c r="BA360" s="220">
        <f t="shared" si="21"/>
        <v>0</v>
      </c>
    </row>
    <row r="361" spans="1:53" ht="50.1" customHeight="1" x14ac:dyDescent="0.25">
      <c r="A361" s="17">
        <f t="shared" si="22"/>
        <v>347</v>
      </c>
      <c r="B361" s="228"/>
      <c r="C361" s="221"/>
      <c r="D361" s="88"/>
      <c r="E361" s="100"/>
      <c r="F361" s="95"/>
      <c r="G361" s="114"/>
      <c r="H361" s="96"/>
      <c r="I361" s="97"/>
      <c r="J361" s="98"/>
      <c r="K361" s="101"/>
      <c r="L361" s="124"/>
      <c r="M361" s="333"/>
      <c r="N361" s="341"/>
      <c r="O361" s="190"/>
      <c r="P361" s="191"/>
      <c r="Q361" s="190"/>
      <c r="R361" s="191"/>
      <c r="S361" s="294"/>
      <c r="T361" s="300"/>
      <c r="U361" s="306"/>
      <c r="V361" s="308"/>
      <c r="W361" s="248"/>
      <c r="X361" s="342"/>
      <c r="Y361" s="337"/>
      <c r="Z361" s="123"/>
      <c r="AA361" s="83"/>
      <c r="AB361" s="123"/>
      <c r="AC361" s="83"/>
      <c r="AD361" s="123"/>
      <c r="AE361" s="83"/>
      <c r="AF361" s="123"/>
      <c r="AG361" s="243"/>
      <c r="AH361" s="33"/>
      <c r="AI361" s="245"/>
      <c r="AJ361" s="125"/>
      <c r="AK361" s="92"/>
      <c r="AL361" s="126"/>
      <c r="AM361" s="91"/>
      <c r="AN361" s="91"/>
      <c r="AO361" s="197">
        <f t="shared" si="23"/>
        <v>0</v>
      </c>
      <c r="AP361" s="126"/>
      <c r="AQ361" s="217"/>
      <c r="AR361" s="123"/>
      <c r="AS361" s="268"/>
      <c r="AT361" s="94"/>
      <c r="AU361" s="84"/>
      <c r="AV361" s="80"/>
      <c r="AW361" s="81"/>
      <c r="AX361" s="77"/>
      <c r="AY361" s="107"/>
      <c r="AZ361" s="220">
        <f t="shared" si="20"/>
        <v>0</v>
      </c>
      <c r="BA361" s="220">
        <f t="shared" si="21"/>
        <v>0</v>
      </c>
    </row>
    <row r="362" spans="1:53" ht="50.1" customHeight="1" x14ac:dyDescent="0.25">
      <c r="A362" s="17">
        <f t="shared" si="22"/>
        <v>348</v>
      </c>
      <c r="B362" s="229"/>
      <c r="C362" s="222"/>
      <c r="D362" s="112"/>
      <c r="E362" s="128"/>
      <c r="F362" s="183"/>
      <c r="G362" s="130"/>
      <c r="H362" s="131"/>
      <c r="I362" s="132"/>
      <c r="J362" s="189"/>
      <c r="K362" s="133"/>
      <c r="L362" s="134"/>
      <c r="M362" s="334"/>
      <c r="N362" s="343"/>
      <c r="O362" s="193"/>
      <c r="P362" s="191"/>
      <c r="Q362" s="193"/>
      <c r="R362" s="191"/>
      <c r="S362" s="296"/>
      <c r="T362" s="302"/>
      <c r="U362" s="306"/>
      <c r="V362" s="308"/>
      <c r="W362" s="249"/>
      <c r="X362" s="344"/>
      <c r="Y362" s="337"/>
      <c r="Z362" s="33"/>
      <c r="AA362" s="83"/>
      <c r="AB362" s="33"/>
      <c r="AC362" s="83"/>
      <c r="AD362" s="33"/>
      <c r="AE362" s="83"/>
      <c r="AF362" s="33"/>
      <c r="AG362" s="244"/>
      <c r="AH362" s="83"/>
      <c r="AI362" s="246"/>
      <c r="AJ362" s="102"/>
      <c r="AK362" s="92"/>
      <c r="AL362" s="91"/>
      <c r="AM362" s="92"/>
      <c r="AN362" s="351"/>
      <c r="AO362" s="197">
        <f t="shared" si="23"/>
        <v>0</v>
      </c>
      <c r="AP362" s="91"/>
      <c r="AQ362" s="217"/>
      <c r="AR362" s="83"/>
      <c r="AS362" s="267"/>
      <c r="AT362" s="94"/>
      <c r="AU362" s="84"/>
      <c r="AV362" s="136"/>
      <c r="AW362" s="81"/>
      <c r="AX362" s="137"/>
      <c r="AY362" s="138"/>
      <c r="AZ362" s="220">
        <f t="shared" si="20"/>
        <v>0</v>
      </c>
      <c r="BA362" s="220">
        <f t="shared" si="21"/>
        <v>0</v>
      </c>
    </row>
    <row r="363" spans="1:53" ht="50.1" customHeight="1" x14ac:dyDescent="0.25">
      <c r="A363" s="17">
        <f t="shared" si="22"/>
        <v>349</v>
      </c>
      <c r="B363" s="228"/>
      <c r="C363" s="221"/>
      <c r="D363" s="88"/>
      <c r="E363" s="100"/>
      <c r="F363" s="95"/>
      <c r="G363" s="114"/>
      <c r="H363" s="96"/>
      <c r="I363" s="97"/>
      <c r="J363" s="98"/>
      <c r="K363" s="101"/>
      <c r="L363" s="124"/>
      <c r="M363" s="371"/>
      <c r="N363" s="341"/>
      <c r="O363" s="190"/>
      <c r="P363" s="191"/>
      <c r="Q363" s="190"/>
      <c r="R363" s="191"/>
      <c r="S363" s="294"/>
      <c r="T363" s="300"/>
      <c r="U363" s="306"/>
      <c r="V363" s="308"/>
      <c r="W363" s="248"/>
      <c r="X363" s="342"/>
      <c r="Y363" s="337"/>
      <c r="Z363" s="123"/>
      <c r="AA363" s="83"/>
      <c r="AB363" s="123"/>
      <c r="AC363" s="83"/>
      <c r="AD363" s="123"/>
      <c r="AE363" s="83"/>
      <c r="AF363" s="123"/>
      <c r="AG363" s="243"/>
      <c r="AH363" s="33"/>
      <c r="AI363" s="245"/>
      <c r="AJ363" s="125"/>
      <c r="AK363" s="92"/>
      <c r="AL363" s="126"/>
      <c r="AM363" s="91"/>
      <c r="AN363" s="91"/>
      <c r="AO363" s="197">
        <f t="shared" si="23"/>
        <v>0</v>
      </c>
      <c r="AP363" s="126"/>
      <c r="AQ363" s="217"/>
      <c r="AR363" s="201"/>
      <c r="AS363" s="266"/>
      <c r="AT363" s="94"/>
      <c r="AU363" s="84"/>
      <c r="AV363" s="80"/>
      <c r="AW363" s="81"/>
      <c r="AX363" s="77"/>
      <c r="AY363" s="107"/>
      <c r="AZ363" s="220">
        <f t="shared" si="20"/>
        <v>0</v>
      </c>
      <c r="BA363" s="220">
        <f t="shared" si="21"/>
        <v>0</v>
      </c>
    </row>
    <row r="364" spans="1:53" ht="50.1" customHeight="1" x14ac:dyDescent="0.25">
      <c r="A364" s="17">
        <f t="shared" si="22"/>
        <v>350</v>
      </c>
      <c r="B364" s="229"/>
      <c r="C364" s="222"/>
      <c r="D364" s="112"/>
      <c r="E364" s="128"/>
      <c r="F364" s="183"/>
      <c r="G364" s="130"/>
      <c r="H364" s="131"/>
      <c r="I364" s="132"/>
      <c r="J364" s="189"/>
      <c r="K364" s="133"/>
      <c r="L364" s="134"/>
      <c r="M364" s="334"/>
      <c r="N364" s="343"/>
      <c r="O364" s="193"/>
      <c r="P364" s="191"/>
      <c r="Q364" s="193"/>
      <c r="R364" s="191"/>
      <c r="S364" s="296"/>
      <c r="T364" s="302"/>
      <c r="U364" s="306"/>
      <c r="V364" s="308"/>
      <c r="W364" s="249"/>
      <c r="X364" s="344"/>
      <c r="Y364" s="337"/>
      <c r="Z364" s="33"/>
      <c r="AA364" s="83"/>
      <c r="AB364" s="33"/>
      <c r="AC364" s="83"/>
      <c r="AD364" s="33"/>
      <c r="AE364" s="83"/>
      <c r="AF364" s="33"/>
      <c r="AG364" s="244"/>
      <c r="AH364" s="83"/>
      <c r="AI364" s="246"/>
      <c r="AJ364" s="102"/>
      <c r="AK364" s="92"/>
      <c r="AL364" s="91"/>
      <c r="AM364" s="92"/>
      <c r="AN364" s="351"/>
      <c r="AO364" s="197">
        <f t="shared" si="23"/>
        <v>0</v>
      </c>
      <c r="AP364" s="91"/>
      <c r="AQ364" s="217"/>
      <c r="AR364" s="83"/>
      <c r="AS364" s="267"/>
      <c r="AT364" s="94"/>
      <c r="AU364" s="84"/>
      <c r="AV364" s="136"/>
      <c r="AW364" s="81"/>
      <c r="AX364" s="137"/>
      <c r="AY364" s="138"/>
      <c r="AZ364" s="220">
        <f t="shared" si="20"/>
        <v>0</v>
      </c>
      <c r="BA364" s="220">
        <f t="shared" si="21"/>
        <v>0</v>
      </c>
    </row>
    <row r="365" spans="1:53" ht="50.1" customHeight="1" x14ac:dyDescent="0.25">
      <c r="A365" s="17">
        <f t="shared" si="22"/>
        <v>351</v>
      </c>
      <c r="B365" s="228"/>
      <c r="C365" s="221"/>
      <c r="D365" s="88"/>
      <c r="E365" s="100"/>
      <c r="F365" s="95"/>
      <c r="G365" s="114"/>
      <c r="H365" s="96"/>
      <c r="I365" s="97"/>
      <c r="J365" s="98"/>
      <c r="K365" s="101"/>
      <c r="L365" s="124"/>
      <c r="M365" s="333"/>
      <c r="N365" s="341"/>
      <c r="O365" s="190"/>
      <c r="P365" s="191"/>
      <c r="Q365" s="190"/>
      <c r="R365" s="191"/>
      <c r="S365" s="294"/>
      <c r="T365" s="300"/>
      <c r="U365" s="306"/>
      <c r="V365" s="308"/>
      <c r="W365" s="248"/>
      <c r="X365" s="342"/>
      <c r="Y365" s="337"/>
      <c r="Z365" s="123"/>
      <c r="AA365" s="83"/>
      <c r="AB365" s="123"/>
      <c r="AC365" s="83"/>
      <c r="AD365" s="123"/>
      <c r="AE365" s="83"/>
      <c r="AF365" s="123"/>
      <c r="AG365" s="243"/>
      <c r="AH365" s="33"/>
      <c r="AI365" s="245"/>
      <c r="AJ365" s="125"/>
      <c r="AK365" s="92"/>
      <c r="AL365" s="126"/>
      <c r="AM365" s="91"/>
      <c r="AN365" s="91"/>
      <c r="AO365" s="197">
        <f t="shared" si="23"/>
        <v>0</v>
      </c>
      <c r="AP365" s="126"/>
      <c r="AQ365" s="217"/>
      <c r="AR365" s="123"/>
      <c r="AS365" s="268"/>
      <c r="AT365" s="94"/>
      <c r="AU365" s="84"/>
      <c r="AV365" s="80"/>
      <c r="AW365" s="81"/>
      <c r="AX365" s="77"/>
      <c r="AY365" s="107"/>
      <c r="AZ365" s="220">
        <f t="shared" si="20"/>
        <v>0</v>
      </c>
      <c r="BA365" s="220">
        <f t="shared" si="21"/>
        <v>0</v>
      </c>
    </row>
    <row r="366" spans="1:53" ht="50.1" customHeight="1" x14ac:dyDescent="0.25">
      <c r="A366" s="17">
        <f t="shared" si="22"/>
        <v>352</v>
      </c>
      <c r="B366" s="229"/>
      <c r="C366" s="222"/>
      <c r="D366" s="112"/>
      <c r="E366" s="128"/>
      <c r="F366" s="183"/>
      <c r="G366" s="130"/>
      <c r="H366" s="131"/>
      <c r="I366" s="132"/>
      <c r="J366" s="189"/>
      <c r="K366" s="133"/>
      <c r="L366" s="134"/>
      <c r="M366" s="334"/>
      <c r="N366" s="343"/>
      <c r="O366" s="193"/>
      <c r="P366" s="191"/>
      <c r="Q366" s="193"/>
      <c r="R366" s="191"/>
      <c r="S366" s="296"/>
      <c r="T366" s="302"/>
      <c r="U366" s="306"/>
      <c r="V366" s="308"/>
      <c r="W366" s="249"/>
      <c r="X366" s="344"/>
      <c r="Y366" s="337"/>
      <c r="Z366" s="33"/>
      <c r="AA366" s="83"/>
      <c r="AB366" s="33"/>
      <c r="AC366" s="83"/>
      <c r="AD366" s="33"/>
      <c r="AE366" s="83"/>
      <c r="AF366" s="33"/>
      <c r="AG366" s="244"/>
      <c r="AH366" s="83"/>
      <c r="AI366" s="246"/>
      <c r="AJ366" s="102"/>
      <c r="AK366" s="92"/>
      <c r="AL366" s="91"/>
      <c r="AM366" s="92"/>
      <c r="AN366" s="351"/>
      <c r="AO366" s="197">
        <f t="shared" si="23"/>
        <v>0</v>
      </c>
      <c r="AP366" s="91"/>
      <c r="AQ366" s="217"/>
      <c r="AR366" s="83"/>
      <c r="AS366" s="267"/>
      <c r="AT366" s="94"/>
      <c r="AU366" s="84"/>
      <c r="AV366" s="136"/>
      <c r="AW366" s="81"/>
      <c r="AX366" s="137"/>
      <c r="AY366" s="138"/>
      <c r="AZ366" s="220">
        <f t="shared" si="20"/>
        <v>0</v>
      </c>
      <c r="BA366" s="220">
        <f t="shared" si="21"/>
        <v>0</v>
      </c>
    </row>
    <row r="367" spans="1:53" ht="50.1" customHeight="1" x14ac:dyDescent="0.25">
      <c r="A367" s="17">
        <f t="shared" si="22"/>
        <v>353</v>
      </c>
      <c r="B367" s="228"/>
      <c r="C367" s="221"/>
      <c r="D367" s="88"/>
      <c r="E367" s="100"/>
      <c r="F367" s="95"/>
      <c r="G367" s="114"/>
      <c r="H367" s="96"/>
      <c r="I367" s="97"/>
      <c r="J367" s="98"/>
      <c r="K367" s="101"/>
      <c r="L367" s="124"/>
      <c r="M367" s="333"/>
      <c r="N367" s="341"/>
      <c r="O367" s="190"/>
      <c r="P367" s="191"/>
      <c r="Q367" s="190"/>
      <c r="R367" s="191"/>
      <c r="S367" s="294"/>
      <c r="T367" s="300"/>
      <c r="U367" s="306"/>
      <c r="V367" s="308"/>
      <c r="W367" s="248"/>
      <c r="X367" s="342"/>
      <c r="Y367" s="337"/>
      <c r="Z367" s="123"/>
      <c r="AA367" s="83"/>
      <c r="AB367" s="123"/>
      <c r="AC367" s="83"/>
      <c r="AD367" s="123"/>
      <c r="AE367" s="83"/>
      <c r="AF367" s="123"/>
      <c r="AG367" s="243"/>
      <c r="AH367" s="33"/>
      <c r="AI367" s="245"/>
      <c r="AJ367" s="198"/>
      <c r="AK367" s="92"/>
      <c r="AL367" s="126"/>
      <c r="AM367" s="91"/>
      <c r="AN367" s="91"/>
      <c r="AO367" s="197">
        <f t="shared" si="23"/>
        <v>0</v>
      </c>
      <c r="AP367" s="126"/>
      <c r="AQ367" s="217"/>
      <c r="AR367" s="123"/>
      <c r="AS367" s="268"/>
      <c r="AT367" s="94"/>
      <c r="AU367" s="84"/>
      <c r="AV367" s="80"/>
      <c r="AW367" s="81"/>
      <c r="AX367" s="77"/>
      <c r="AY367" s="107"/>
      <c r="AZ367" s="220">
        <f t="shared" si="20"/>
        <v>0</v>
      </c>
      <c r="BA367" s="220">
        <f t="shared" si="21"/>
        <v>0</v>
      </c>
    </row>
    <row r="368" spans="1:53" ht="50.1" customHeight="1" x14ac:dyDescent="0.25">
      <c r="A368" s="17">
        <f t="shared" si="22"/>
        <v>354</v>
      </c>
      <c r="B368" s="229"/>
      <c r="C368" s="222"/>
      <c r="D368" s="112"/>
      <c r="E368" s="128"/>
      <c r="F368" s="183"/>
      <c r="G368" s="130"/>
      <c r="H368" s="131"/>
      <c r="I368" s="132"/>
      <c r="J368" s="189"/>
      <c r="K368" s="133"/>
      <c r="L368" s="134"/>
      <c r="M368" s="334"/>
      <c r="N368" s="343"/>
      <c r="O368" s="193"/>
      <c r="P368" s="191"/>
      <c r="Q368" s="193"/>
      <c r="R368" s="191"/>
      <c r="S368" s="296"/>
      <c r="T368" s="302"/>
      <c r="U368" s="306"/>
      <c r="V368" s="308"/>
      <c r="W368" s="249"/>
      <c r="X368" s="344"/>
      <c r="Y368" s="337"/>
      <c r="Z368" s="33"/>
      <c r="AA368" s="83"/>
      <c r="AB368" s="33"/>
      <c r="AC368" s="83"/>
      <c r="AD368" s="33"/>
      <c r="AE368" s="83"/>
      <c r="AF368" s="33"/>
      <c r="AG368" s="244"/>
      <c r="AH368" s="83"/>
      <c r="AI368" s="246"/>
      <c r="AJ368" s="195"/>
      <c r="AK368" s="92"/>
      <c r="AL368" s="91"/>
      <c r="AM368" s="92"/>
      <c r="AN368" s="351"/>
      <c r="AO368" s="197">
        <f t="shared" si="23"/>
        <v>0</v>
      </c>
      <c r="AP368" s="91"/>
      <c r="AQ368" s="217"/>
      <c r="AR368" s="83"/>
      <c r="AS368" s="267"/>
      <c r="AT368" s="94"/>
      <c r="AU368" s="84"/>
      <c r="AV368" s="136"/>
      <c r="AW368" s="81"/>
      <c r="AX368" s="137"/>
      <c r="AY368" s="138"/>
      <c r="AZ368" s="220">
        <f t="shared" si="20"/>
        <v>0</v>
      </c>
      <c r="BA368" s="220">
        <f t="shared" si="21"/>
        <v>0</v>
      </c>
    </row>
    <row r="369" spans="1:53" ht="50.1" customHeight="1" x14ac:dyDescent="0.25">
      <c r="A369" s="17">
        <f t="shared" si="22"/>
        <v>355</v>
      </c>
      <c r="B369" s="228"/>
      <c r="C369" s="221"/>
      <c r="D369" s="88"/>
      <c r="E369" s="100"/>
      <c r="F369" s="95"/>
      <c r="G369" s="114"/>
      <c r="H369" s="96"/>
      <c r="I369" s="97"/>
      <c r="J369" s="98"/>
      <c r="K369" s="101"/>
      <c r="L369" s="124"/>
      <c r="M369" s="333"/>
      <c r="N369" s="341"/>
      <c r="O369" s="190"/>
      <c r="P369" s="191"/>
      <c r="Q369" s="190"/>
      <c r="R369" s="191"/>
      <c r="S369" s="294"/>
      <c r="T369" s="300"/>
      <c r="U369" s="306"/>
      <c r="V369" s="308"/>
      <c r="W369" s="248"/>
      <c r="X369" s="342"/>
      <c r="Y369" s="337"/>
      <c r="Z369" s="123"/>
      <c r="AA369" s="83"/>
      <c r="AB369" s="123"/>
      <c r="AC369" s="83"/>
      <c r="AD369" s="123"/>
      <c r="AE369" s="83"/>
      <c r="AF369" s="123"/>
      <c r="AG369" s="243"/>
      <c r="AH369" s="33"/>
      <c r="AI369" s="245"/>
      <c r="AJ369" s="198"/>
      <c r="AK369" s="92"/>
      <c r="AL369" s="126"/>
      <c r="AM369" s="91"/>
      <c r="AN369" s="91"/>
      <c r="AO369" s="197">
        <f t="shared" si="23"/>
        <v>0</v>
      </c>
      <c r="AP369" s="126"/>
      <c r="AQ369" s="217"/>
      <c r="AR369" s="123"/>
      <c r="AS369" s="268"/>
      <c r="AT369" s="94"/>
      <c r="AU369" s="84"/>
      <c r="AV369" s="80"/>
      <c r="AW369" s="81"/>
      <c r="AX369" s="77"/>
      <c r="AY369" s="107"/>
      <c r="AZ369" s="220">
        <f t="shared" si="20"/>
        <v>0</v>
      </c>
      <c r="BA369" s="220">
        <f t="shared" si="21"/>
        <v>0</v>
      </c>
    </row>
    <row r="370" spans="1:53" ht="50.1" customHeight="1" x14ac:dyDescent="0.25">
      <c r="A370" s="17">
        <f t="shared" si="22"/>
        <v>356</v>
      </c>
      <c r="B370" s="229"/>
      <c r="C370" s="222"/>
      <c r="D370" s="112"/>
      <c r="E370" s="128"/>
      <c r="F370" s="183"/>
      <c r="G370" s="130"/>
      <c r="H370" s="131"/>
      <c r="I370" s="132"/>
      <c r="J370" s="189"/>
      <c r="K370" s="133"/>
      <c r="L370" s="134"/>
      <c r="M370" s="334"/>
      <c r="N370" s="343"/>
      <c r="O370" s="193"/>
      <c r="P370" s="191"/>
      <c r="Q370" s="193"/>
      <c r="R370" s="191"/>
      <c r="S370" s="296"/>
      <c r="T370" s="302"/>
      <c r="U370" s="306"/>
      <c r="V370" s="308"/>
      <c r="W370" s="249"/>
      <c r="X370" s="344"/>
      <c r="Y370" s="337"/>
      <c r="Z370" s="33"/>
      <c r="AA370" s="83"/>
      <c r="AB370" s="33"/>
      <c r="AC370" s="83"/>
      <c r="AD370" s="33"/>
      <c r="AE370" s="83"/>
      <c r="AF370" s="33"/>
      <c r="AG370" s="244"/>
      <c r="AH370" s="83"/>
      <c r="AI370" s="246"/>
      <c r="AJ370" s="102"/>
      <c r="AK370" s="92"/>
      <c r="AL370" s="91"/>
      <c r="AM370" s="92"/>
      <c r="AN370" s="351"/>
      <c r="AO370" s="197">
        <f t="shared" si="23"/>
        <v>0</v>
      </c>
      <c r="AP370" s="91"/>
      <c r="AQ370" s="217"/>
      <c r="AR370" s="83"/>
      <c r="AS370" s="267"/>
      <c r="AT370" s="94"/>
      <c r="AU370" s="84"/>
      <c r="AV370" s="136"/>
      <c r="AW370" s="81"/>
      <c r="AX370" s="137"/>
      <c r="AY370" s="138"/>
      <c r="AZ370" s="220">
        <f t="shared" si="20"/>
        <v>0</v>
      </c>
      <c r="BA370" s="220">
        <f t="shared" si="21"/>
        <v>0</v>
      </c>
    </row>
    <row r="371" spans="1:53" ht="50.1" customHeight="1" x14ac:dyDescent="0.25">
      <c r="A371" s="17">
        <f t="shared" si="22"/>
        <v>357</v>
      </c>
      <c r="B371" s="228"/>
      <c r="C371" s="221"/>
      <c r="D371" s="88"/>
      <c r="E371" s="100"/>
      <c r="F371" s="95"/>
      <c r="G371" s="114"/>
      <c r="H371" s="96"/>
      <c r="I371" s="97"/>
      <c r="J371" s="98"/>
      <c r="K371" s="101"/>
      <c r="L371" s="124"/>
      <c r="M371" s="333"/>
      <c r="N371" s="341"/>
      <c r="O371" s="190"/>
      <c r="P371" s="191"/>
      <c r="Q371" s="190"/>
      <c r="R371" s="191"/>
      <c r="S371" s="294"/>
      <c r="T371" s="300"/>
      <c r="U371" s="306"/>
      <c r="V371" s="308"/>
      <c r="W371" s="248"/>
      <c r="X371" s="342"/>
      <c r="Y371" s="337"/>
      <c r="Z371" s="123"/>
      <c r="AA371" s="83"/>
      <c r="AB371" s="123"/>
      <c r="AC371" s="83"/>
      <c r="AD371" s="123"/>
      <c r="AE371" s="83"/>
      <c r="AF371" s="123"/>
      <c r="AG371" s="243"/>
      <c r="AH371" s="33"/>
      <c r="AI371" s="245"/>
      <c r="AJ371" s="125"/>
      <c r="AK371" s="92"/>
      <c r="AL371" s="126"/>
      <c r="AM371" s="91"/>
      <c r="AN371" s="91"/>
      <c r="AO371" s="197">
        <f t="shared" si="23"/>
        <v>0</v>
      </c>
      <c r="AP371" s="126"/>
      <c r="AQ371" s="217"/>
      <c r="AR371" s="123"/>
      <c r="AS371" s="268"/>
      <c r="AT371" s="94"/>
      <c r="AU371" s="84"/>
      <c r="AV371" s="80"/>
      <c r="AW371" s="81"/>
      <c r="AX371" s="77"/>
      <c r="AY371" s="107"/>
      <c r="AZ371" s="220">
        <f t="shared" si="20"/>
        <v>0</v>
      </c>
      <c r="BA371" s="220">
        <f t="shared" si="21"/>
        <v>0</v>
      </c>
    </row>
    <row r="372" spans="1:53" ht="50.1" customHeight="1" x14ac:dyDescent="0.25">
      <c r="A372" s="17">
        <f t="shared" si="22"/>
        <v>358</v>
      </c>
      <c r="B372" s="229"/>
      <c r="C372" s="222"/>
      <c r="D372" s="112"/>
      <c r="E372" s="128"/>
      <c r="F372" s="183"/>
      <c r="G372" s="130"/>
      <c r="H372" s="131"/>
      <c r="I372" s="132"/>
      <c r="J372" s="189"/>
      <c r="K372" s="133"/>
      <c r="L372" s="134"/>
      <c r="M372" s="334"/>
      <c r="N372" s="343"/>
      <c r="O372" s="193"/>
      <c r="P372" s="191"/>
      <c r="Q372" s="193"/>
      <c r="R372" s="191"/>
      <c r="S372" s="296"/>
      <c r="T372" s="302"/>
      <c r="U372" s="306"/>
      <c r="V372" s="308"/>
      <c r="W372" s="249"/>
      <c r="X372" s="344"/>
      <c r="Y372" s="337"/>
      <c r="Z372" s="33"/>
      <c r="AA372" s="83"/>
      <c r="AB372" s="33"/>
      <c r="AC372" s="83"/>
      <c r="AD372" s="33"/>
      <c r="AE372" s="83"/>
      <c r="AF372" s="33"/>
      <c r="AG372" s="244"/>
      <c r="AH372" s="83"/>
      <c r="AI372" s="246"/>
      <c r="AJ372" s="102"/>
      <c r="AK372" s="92"/>
      <c r="AL372" s="91"/>
      <c r="AM372" s="92"/>
      <c r="AN372" s="351"/>
      <c r="AO372" s="197">
        <f t="shared" si="23"/>
        <v>0</v>
      </c>
      <c r="AP372" s="91"/>
      <c r="AQ372" s="217"/>
      <c r="AR372" s="83"/>
      <c r="AS372" s="267"/>
      <c r="AT372" s="94"/>
      <c r="AU372" s="84"/>
      <c r="AV372" s="136"/>
      <c r="AW372" s="81"/>
      <c r="AX372" s="137"/>
      <c r="AY372" s="138"/>
      <c r="AZ372" s="220">
        <f t="shared" si="20"/>
        <v>0</v>
      </c>
      <c r="BA372" s="220">
        <f t="shared" si="21"/>
        <v>0</v>
      </c>
    </row>
    <row r="373" spans="1:53" ht="50.1" customHeight="1" x14ac:dyDescent="0.25">
      <c r="A373" s="17">
        <f t="shared" si="22"/>
        <v>359</v>
      </c>
      <c r="B373" s="228"/>
      <c r="C373" s="221"/>
      <c r="D373" s="88"/>
      <c r="E373" s="100"/>
      <c r="F373" s="95"/>
      <c r="G373" s="114"/>
      <c r="H373" s="96"/>
      <c r="I373" s="97"/>
      <c r="J373" s="98"/>
      <c r="K373" s="101"/>
      <c r="L373" s="124"/>
      <c r="M373" s="333"/>
      <c r="N373" s="341"/>
      <c r="O373" s="190"/>
      <c r="P373" s="191"/>
      <c r="Q373" s="190"/>
      <c r="R373" s="191"/>
      <c r="S373" s="294"/>
      <c r="T373" s="300"/>
      <c r="U373" s="306"/>
      <c r="V373" s="308"/>
      <c r="W373" s="248"/>
      <c r="X373" s="342"/>
      <c r="Y373" s="337"/>
      <c r="Z373" s="123"/>
      <c r="AA373" s="83"/>
      <c r="AB373" s="123"/>
      <c r="AC373" s="83"/>
      <c r="AD373" s="123"/>
      <c r="AE373" s="83"/>
      <c r="AF373" s="123"/>
      <c r="AG373" s="243"/>
      <c r="AH373" s="33"/>
      <c r="AI373" s="245"/>
      <c r="AJ373" s="125"/>
      <c r="AK373" s="92"/>
      <c r="AL373" s="126"/>
      <c r="AM373" s="91"/>
      <c r="AN373" s="91"/>
      <c r="AO373" s="197">
        <f t="shared" si="23"/>
        <v>0</v>
      </c>
      <c r="AP373" s="126"/>
      <c r="AQ373" s="217"/>
      <c r="AR373" s="123"/>
      <c r="AS373" s="268"/>
      <c r="AT373" s="94"/>
      <c r="AU373" s="84"/>
      <c r="AV373" s="80"/>
      <c r="AW373" s="81"/>
      <c r="AX373" s="77"/>
      <c r="AY373" s="107"/>
      <c r="AZ373" s="220">
        <f t="shared" si="20"/>
        <v>0</v>
      </c>
      <c r="BA373" s="220">
        <f t="shared" si="21"/>
        <v>0</v>
      </c>
    </row>
    <row r="374" spans="1:53" ht="50.1" customHeight="1" x14ac:dyDescent="0.25">
      <c r="A374" s="17">
        <f t="shared" si="22"/>
        <v>360</v>
      </c>
      <c r="B374" s="229"/>
      <c r="C374" s="222"/>
      <c r="D374" s="112"/>
      <c r="E374" s="128"/>
      <c r="F374" s="183"/>
      <c r="G374" s="130"/>
      <c r="H374" s="131"/>
      <c r="I374" s="132"/>
      <c r="J374" s="189"/>
      <c r="K374" s="133"/>
      <c r="L374" s="134"/>
      <c r="M374" s="334"/>
      <c r="N374" s="343"/>
      <c r="O374" s="193"/>
      <c r="P374" s="191"/>
      <c r="Q374" s="193"/>
      <c r="R374" s="191"/>
      <c r="S374" s="296"/>
      <c r="T374" s="302"/>
      <c r="U374" s="306"/>
      <c r="V374" s="308"/>
      <c r="W374" s="249"/>
      <c r="X374" s="344"/>
      <c r="Y374" s="337"/>
      <c r="Z374" s="33"/>
      <c r="AA374" s="83"/>
      <c r="AB374" s="33"/>
      <c r="AC374" s="83"/>
      <c r="AD374" s="33"/>
      <c r="AE374" s="83"/>
      <c r="AF374" s="33"/>
      <c r="AG374" s="244"/>
      <c r="AH374" s="83"/>
      <c r="AI374" s="246"/>
      <c r="AJ374" s="102"/>
      <c r="AK374" s="92"/>
      <c r="AL374" s="91"/>
      <c r="AM374" s="92"/>
      <c r="AN374" s="351"/>
      <c r="AO374" s="197">
        <f t="shared" si="23"/>
        <v>0</v>
      </c>
      <c r="AP374" s="91"/>
      <c r="AQ374" s="217"/>
      <c r="AR374" s="83"/>
      <c r="AS374" s="267"/>
      <c r="AT374" s="94"/>
      <c r="AU374" s="84"/>
      <c r="AV374" s="136"/>
      <c r="AW374" s="81"/>
      <c r="AX374" s="137"/>
      <c r="AY374" s="138"/>
      <c r="AZ374" s="220">
        <f t="shared" si="20"/>
        <v>0</v>
      </c>
      <c r="BA374" s="220">
        <f t="shared" si="21"/>
        <v>0</v>
      </c>
    </row>
    <row r="375" spans="1:53" ht="50.1" customHeight="1" x14ac:dyDescent="0.25">
      <c r="A375" s="17">
        <f t="shared" si="22"/>
        <v>361</v>
      </c>
      <c r="B375" s="228"/>
      <c r="C375" s="221"/>
      <c r="D375" s="88"/>
      <c r="E375" s="100"/>
      <c r="F375" s="95"/>
      <c r="G375" s="114"/>
      <c r="H375" s="96"/>
      <c r="I375" s="97"/>
      <c r="J375" s="98"/>
      <c r="K375" s="101"/>
      <c r="L375" s="124"/>
      <c r="M375" s="333"/>
      <c r="N375" s="341"/>
      <c r="O375" s="190"/>
      <c r="P375" s="191"/>
      <c r="Q375" s="190"/>
      <c r="R375" s="191"/>
      <c r="S375" s="294"/>
      <c r="T375" s="300"/>
      <c r="U375" s="306"/>
      <c r="V375" s="308"/>
      <c r="W375" s="248"/>
      <c r="X375" s="342"/>
      <c r="Y375" s="337"/>
      <c r="Z375" s="123"/>
      <c r="AA375" s="83"/>
      <c r="AB375" s="123"/>
      <c r="AC375" s="83"/>
      <c r="AD375" s="123"/>
      <c r="AE375" s="83"/>
      <c r="AF375" s="123"/>
      <c r="AG375" s="243"/>
      <c r="AH375" s="33"/>
      <c r="AI375" s="245"/>
      <c r="AJ375" s="125"/>
      <c r="AK375" s="92"/>
      <c r="AL375" s="126"/>
      <c r="AM375" s="91"/>
      <c r="AN375" s="91"/>
      <c r="AO375" s="197">
        <f t="shared" si="23"/>
        <v>0</v>
      </c>
      <c r="AP375" s="126"/>
      <c r="AQ375" s="217"/>
      <c r="AR375" s="201"/>
      <c r="AS375" s="266"/>
      <c r="AT375" s="94"/>
      <c r="AU375" s="84"/>
      <c r="AV375" s="80"/>
      <c r="AW375" s="81"/>
      <c r="AX375" s="77"/>
      <c r="AY375" s="107"/>
      <c r="AZ375" s="220">
        <f t="shared" si="20"/>
        <v>0</v>
      </c>
      <c r="BA375" s="220">
        <f t="shared" si="21"/>
        <v>0</v>
      </c>
    </row>
    <row r="376" spans="1:53" ht="50.1" customHeight="1" x14ac:dyDescent="0.25">
      <c r="A376" s="17">
        <f t="shared" si="22"/>
        <v>362</v>
      </c>
      <c r="B376" s="229"/>
      <c r="C376" s="222"/>
      <c r="D376" s="112"/>
      <c r="E376" s="128"/>
      <c r="F376" s="183"/>
      <c r="G376" s="130"/>
      <c r="H376" s="131"/>
      <c r="I376" s="132"/>
      <c r="J376" s="189"/>
      <c r="K376" s="133"/>
      <c r="L376" s="134"/>
      <c r="M376" s="334"/>
      <c r="N376" s="343"/>
      <c r="O376" s="193"/>
      <c r="P376" s="191"/>
      <c r="Q376" s="193"/>
      <c r="R376" s="191"/>
      <c r="S376" s="296"/>
      <c r="T376" s="302"/>
      <c r="U376" s="306"/>
      <c r="V376" s="308"/>
      <c r="W376" s="249"/>
      <c r="X376" s="344"/>
      <c r="Y376" s="337"/>
      <c r="Z376" s="33"/>
      <c r="AA376" s="83"/>
      <c r="AB376" s="33"/>
      <c r="AC376" s="83"/>
      <c r="AD376" s="33"/>
      <c r="AE376" s="83"/>
      <c r="AF376" s="33"/>
      <c r="AG376" s="244"/>
      <c r="AH376" s="83"/>
      <c r="AI376" s="246"/>
      <c r="AJ376" s="102"/>
      <c r="AK376" s="92"/>
      <c r="AL376" s="91"/>
      <c r="AM376" s="92"/>
      <c r="AN376" s="351"/>
      <c r="AO376" s="197">
        <f t="shared" si="23"/>
        <v>0</v>
      </c>
      <c r="AP376" s="91"/>
      <c r="AQ376" s="217"/>
      <c r="AR376" s="103"/>
      <c r="AS376" s="264"/>
      <c r="AT376" s="94"/>
      <c r="AU376" s="84"/>
      <c r="AV376" s="136"/>
      <c r="AW376" s="81"/>
      <c r="AX376" s="137"/>
      <c r="AY376" s="138"/>
      <c r="AZ376" s="220">
        <f t="shared" si="20"/>
        <v>0</v>
      </c>
      <c r="BA376" s="220">
        <f t="shared" si="21"/>
        <v>0</v>
      </c>
    </row>
    <row r="377" spans="1:53" ht="50.1" customHeight="1" x14ac:dyDescent="0.25">
      <c r="A377" s="17">
        <f t="shared" si="22"/>
        <v>363</v>
      </c>
      <c r="B377" s="228"/>
      <c r="C377" s="221"/>
      <c r="D377" s="88"/>
      <c r="E377" s="100"/>
      <c r="F377" s="95"/>
      <c r="G377" s="114"/>
      <c r="H377" s="96"/>
      <c r="I377" s="97"/>
      <c r="J377" s="98"/>
      <c r="K377" s="101"/>
      <c r="L377" s="124"/>
      <c r="M377" s="333"/>
      <c r="N377" s="341"/>
      <c r="O377" s="190"/>
      <c r="P377" s="191"/>
      <c r="Q377" s="190"/>
      <c r="R377" s="191"/>
      <c r="S377" s="294"/>
      <c r="T377" s="300"/>
      <c r="U377" s="306"/>
      <c r="V377" s="308"/>
      <c r="W377" s="248"/>
      <c r="X377" s="342"/>
      <c r="Y377" s="337"/>
      <c r="Z377" s="123"/>
      <c r="AA377" s="83"/>
      <c r="AB377" s="123"/>
      <c r="AC377" s="83"/>
      <c r="AD377" s="123"/>
      <c r="AE377" s="83"/>
      <c r="AF377" s="123"/>
      <c r="AG377" s="243"/>
      <c r="AH377" s="33"/>
      <c r="AI377" s="245"/>
      <c r="AJ377" s="125"/>
      <c r="AK377" s="92"/>
      <c r="AL377" s="126"/>
      <c r="AM377" s="91"/>
      <c r="AN377" s="91"/>
      <c r="AO377" s="197">
        <f t="shared" si="23"/>
        <v>0</v>
      </c>
      <c r="AP377" s="126"/>
      <c r="AQ377" s="217"/>
      <c r="AR377" s="201"/>
      <c r="AS377" s="266"/>
      <c r="AT377" s="94"/>
      <c r="AU377" s="84"/>
      <c r="AV377" s="80"/>
      <c r="AW377" s="81"/>
      <c r="AX377" s="77"/>
      <c r="AY377" s="107"/>
      <c r="AZ377" s="220">
        <f t="shared" si="20"/>
        <v>0</v>
      </c>
      <c r="BA377" s="220">
        <f t="shared" si="21"/>
        <v>0</v>
      </c>
    </row>
    <row r="378" spans="1:53" ht="50.1" customHeight="1" x14ac:dyDescent="0.25">
      <c r="A378" s="17">
        <f t="shared" si="22"/>
        <v>364</v>
      </c>
      <c r="B378" s="229"/>
      <c r="C378" s="222"/>
      <c r="D378" s="112"/>
      <c r="E378" s="128"/>
      <c r="F378" s="183"/>
      <c r="G378" s="130"/>
      <c r="H378" s="131"/>
      <c r="I378" s="132"/>
      <c r="J378" s="189"/>
      <c r="K378" s="133"/>
      <c r="L378" s="134"/>
      <c r="M378" s="334"/>
      <c r="N378" s="343"/>
      <c r="O378" s="193"/>
      <c r="P378" s="191"/>
      <c r="Q378" s="193"/>
      <c r="R378" s="191"/>
      <c r="S378" s="296"/>
      <c r="T378" s="302"/>
      <c r="U378" s="306"/>
      <c r="V378" s="308"/>
      <c r="W378" s="249"/>
      <c r="X378" s="344"/>
      <c r="Y378" s="337"/>
      <c r="Z378" s="33"/>
      <c r="AA378" s="83"/>
      <c r="AB378" s="33"/>
      <c r="AC378" s="83"/>
      <c r="AD378" s="33"/>
      <c r="AE378" s="83"/>
      <c r="AF378" s="33"/>
      <c r="AG378" s="244"/>
      <c r="AH378" s="83"/>
      <c r="AI378" s="246"/>
      <c r="AJ378" s="102"/>
      <c r="AK378" s="92"/>
      <c r="AL378" s="91"/>
      <c r="AM378" s="92"/>
      <c r="AN378" s="351"/>
      <c r="AO378" s="197">
        <f t="shared" si="23"/>
        <v>0</v>
      </c>
      <c r="AP378" s="91"/>
      <c r="AQ378" s="217"/>
      <c r="AR378" s="103"/>
      <c r="AS378" s="264"/>
      <c r="AT378" s="94"/>
      <c r="AU378" s="84"/>
      <c r="AV378" s="136"/>
      <c r="AW378" s="81"/>
      <c r="AX378" s="137"/>
      <c r="AY378" s="138"/>
      <c r="AZ378" s="220">
        <f t="shared" si="20"/>
        <v>0</v>
      </c>
      <c r="BA378" s="220">
        <f t="shared" si="21"/>
        <v>0</v>
      </c>
    </row>
    <row r="379" spans="1:53" ht="50.1" customHeight="1" x14ac:dyDescent="0.25">
      <c r="A379" s="17">
        <f t="shared" si="22"/>
        <v>365</v>
      </c>
      <c r="B379" s="228"/>
      <c r="C379" s="221"/>
      <c r="D379" s="88"/>
      <c r="E379" s="100"/>
      <c r="F379" s="95"/>
      <c r="G379" s="114"/>
      <c r="H379" s="96"/>
      <c r="I379" s="97"/>
      <c r="J379" s="98"/>
      <c r="K379" s="101"/>
      <c r="L379" s="124"/>
      <c r="M379" s="333"/>
      <c r="N379" s="341"/>
      <c r="O379" s="190"/>
      <c r="P379" s="191"/>
      <c r="Q379" s="190"/>
      <c r="R379" s="191"/>
      <c r="S379" s="294"/>
      <c r="T379" s="300"/>
      <c r="U379" s="306"/>
      <c r="V379" s="308"/>
      <c r="W379" s="248"/>
      <c r="X379" s="342"/>
      <c r="Y379" s="337"/>
      <c r="Z379" s="123"/>
      <c r="AA379" s="83"/>
      <c r="AB379" s="123"/>
      <c r="AC379" s="83"/>
      <c r="AD379" s="123"/>
      <c r="AE379" s="83"/>
      <c r="AF379" s="123"/>
      <c r="AG379" s="243"/>
      <c r="AH379" s="33"/>
      <c r="AI379" s="245"/>
      <c r="AJ379" s="125"/>
      <c r="AK379" s="92"/>
      <c r="AL379" s="126"/>
      <c r="AM379" s="91"/>
      <c r="AN379" s="91"/>
      <c r="AO379" s="197">
        <f t="shared" si="23"/>
        <v>0</v>
      </c>
      <c r="AP379" s="126"/>
      <c r="AQ379" s="217"/>
      <c r="AR379" s="201"/>
      <c r="AS379" s="266"/>
      <c r="AT379" s="94"/>
      <c r="AU379" s="84"/>
      <c r="AV379" s="80"/>
      <c r="AW379" s="81"/>
      <c r="AX379" s="77"/>
      <c r="AY379" s="107"/>
      <c r="AZ379" s="220">
        <f t="shared" si="20"/>
        <v>0</v>
      </c>
      <c r="BA379" s="220">
        <f t="shared" si="21"/>
        <v>0</v>
      </c>
    </row>
    <row r="380" spans="1:53" ht="50.1" customHeight="1" x14ac:dyDescent="0.25">
      <c r="A380" s="17">
        <f t="shared" si="22"/>
        <v>366</v>
      </c>
      <c r="B380" s="229"/>
      <c r="C380" s="222"/>
      <c r="D380" s="112"/>
      <c r="E380" s="128"/>
      <c r="F380" s="183"/>
      <c r="G380" s="130"/>
      <c r="H380" s="131"/>
      <c r="I380" s="132"/>
      <c r="J380" s="189"/>
      <c r="K380" s="133"/>
      <c r="L380" s="134"/>
      <c r="M380" s="334"/>
      <c r="N380" s="343"/>
      <c r="O380" s="193"/>
      <c r="P380" s="191"/>
      <c r="Q380" s="193"/>
      <c r="R380" s="191"/>
      <c r="S380" s="296"/>
      <c r="T380" s="302"/>
      <c r="U380" s="306"/>
      <c r="V380" s="308"/>
      <c r="W380" s="249"/>
      <c r="X380" s="344"/>
      <c r="Y380" s="337"/>
      <c r="Z380" s="33"/>
      <c r="AA380" s="83"/>
      <c r="AB380" s="33"/>
      <c r="AC380" s="83"/>
      <c r="AD380" s="33"/>
      <c r="AE380" s="83"/>
      <c r="AF380" s="33"/>
      <c r="AG380" s="244"/>
      <c r="AH380" s="83"/>
      <c r="AI380" s="246"/>
      <c r="AJ380" s="102"/>
      <c r="AK380" s="92"/>
      <c r="AL380" s="91"/>
      <c r="AM380" s="92"/>
      <c r="AN380" s="351"/>
      <c r="AO380" s="197">
        <f t="shared" si="23"/>
        <v>0</v>
      </c>
      <c r="AP380" s="91"/>
      <c r="AQ380" s="217"/>
      <c r="AR380" s="103"/>
      <c r="AS380" s="264"/>
      <c r="AT380" s="94"/>
      <c r="AU380" s="84"/>
      <c r="AV380" s="136"/>
      <c r="AW380" s="81"/>
      <c r="AX380" s="137"/>
      <c r="AY380" s="138"/>
      <c r="AZ380" s="220">
        <f t="shared" si="20"/>
        <v>0</v>
      </c>
      <c r="BA380" s="220">
        <f t="shared" si="21"/>
        <v>0</v>
      </c>
    </row>
    <row r="381" spans="1:53" ht="50.1" customHeight="1" x14ac:dyDescent="0.25">
      <c r="A381" s="17">
        <f t="shared" si="22"/>
        <v>367</v>
      </c>
      <c r="B381" s="228"/>
      <c r="C381" s="221"/>
      <c r="D381" s="88"/>
      <c r="E381" s="100"/>
      <c r="F381" s="95"/>
      <c r="G381" s="114"/>
      <c r="H381" s="96"/>
      <c r="I381" s="97"/>
      <c r="J381" s="98"/>
      <c r="K381" s="101"/>
      <c r="L381" s="124"/>
      <c r="M381" s="333"/>
      <c r="N381" s="341"/>
      <c r="O381" s="190"/>
      <c r="P381" s="191"/>
      <c r="Q381" s="190"/>
      <c r="R381" s="191"/>
      <c r="S381" s="294"/>
      <c r="T381" s="300"/>
      <c r="U381" s="306"/>
      <c r="V381" s="308"/>
      <c r="W381" s="248"/>
      <c r="X381" s="342"/>
      <c r="Y381" s="337"/>
      <c r="Z381" s="123"/>
      <c r="AA381" s="83"/>
      <c r="AB381" s="123"/>
      <c r="AC381" s="83"/>
      <c r="AD381" s="123"/>
      <c r="AE381" s="83"/>
      <c r="AF381" s="123"/>
      <c r="AG381" s="243"/>
      <c r="AH381" s="33"/>
      <c r="AI381" s="245"/>
      <c r="AJ381" s="125"/>
      <c r="AK381" s="92"/>
      <c r="AL381" s="126"/>
      <c r="AM381" s="91"/>
      <c r="AN381" s="91"/>
      <c r="AO381" s="197">
        <f t="shared" si="23"/>
        <v>0</v>
      </c>
      <c r="AP381" s="126"/>
      <c r="AQ381" s="217"/>
      <c r="AR381" s="201"/>
      <c r="AS381" s="266"/>
      <c r="AT381" s="94"/>
      <c r="AU381" s="84"/>
      <c r="AV381" s="80"/>
      <c r="AW381" s="81"/>
      <c r="AX381" s="77"/>
      <c r="AY381" s="107"/>
      <c r="AZ381" s="220">
        <f t="shared" si="20"/>
        <v>0</v>
      </c>
      <c r="BA381" s="220">
        <f t="shared" si="21"/>
        <v>0</v>
      </c>
    </row>
    <row r="382" spans="1:53" ht="50.1" customHeight="1" x14ac:dyDescent="0.25">
      <c r="A382" s="17">
        <f t="shared" si="22"/>
        <v>368</v>
      </c>
      <c r="B382" s="229"/>
      <c r="C382" s="222"/>
      <c r="D382" s="112"/>
      <c r="E382" s="128"/>
      <c r="F382" s="183"/>
      <c r="G382" s="130"/>
      <c r="H382" s="131"/>
      <c r="I382" s="132"/>
      <c r="J382" s="189"/>
      <c r="K382" s="133"/>
      <c r="L382" s="134"/>
      <c r="M382" s="334"/>
      <c r="N382" s="343"/>
      <c r="O382" s="193"/>
      <c r="P382" s="191"/>
      <c r="Q382" s="193"/>
      <c r="R382" s="191"/>
      <c r="S382" s="296"/>
      <c r="T382" s="302"/>
      <c r="U382" s="306"/>
      <c r="V382" s="308"/>
      <c r="W382" s="249"/>
      <c r="X382" s="344"/>
      <c r="Y382" s="337"/>
      <c r="Z382" s="33"/>
      <c r="AA382" s="83"/>
      <c r="AB382" s="33"/>
      <c r="AC382" s="83"/>
      <c r="AD382" s="33"/>
      <c r="AE382" s="83"/>
      <c r="AF382" s="33"/>
      <c r="AG382" s="244"/>
      <c r="AH382" s="83"/>
      <c r="AI382" s="246"/>
      <c r="AJ382" s="102"/>
      <c r="AK382" s="92"/>
      <c r="AL382" s="91"/>
      <c r="AM382" s="92"/>
      <c r="AN382" s="351"/>
      <c r="AO382" s="197">
        <f t="shared" si="23"/>
        <v>0</v>
      </c>
      <c r="AP382" s="91"/>
      <c r="AQ382" s="217"/>
      <c r="AR382" s="103"/>
      <c r="AS382" s="264"/>
      <c r="AT382" s="94"/>
      <c r="AU382" s="84"/>
      <c r="AV382" s="136"/>
      <c r="AW382" s="81"/>
      <c r="AX382" s="137"/>
      <c r="AY382" s="138"/>
      <c r="AZ382" s="220">
        <f t="shared" si="20"/>
        <v>0</v>
      </c>
      <c r="BA382" s="220">
        <f t="shared" si="21"/>
        <v>0</v>
      </c>
    </row>
    <row r="383" spans="1:53" ht="50.1" customHeight="1" x14ac:dyDescent="0.25">
      <c r="A383" s="17">
        <f t="shared" si="22"/>
        <v>369</v>
      </c>
      <c r="B383" s="228"/>
      <c r="C383" s="221"/>
      <c r="D383" s="88"/>
      <c r="E383" s="100"/>
      <c r="F383" s="95"/>
      <c r="G383" s="114"/>
      <c r="H383" s="96"/>
      <c r="I383" s="97"/>
      <c r="J383" s="98"/>
      <c r="K383" s="101"/>
      <c r="L383" s="124"/>
      <c r="M383" s="333"/>
      <c r="N383" s="341"/>
      <c r="O383" s="190"/>
      <c r="P383" s="191"/>
      <c r="Q383" s="190"/>
      <c r="R383" s="191"/>
      <c r="S383" s="294"/>
      <c r="T383" s="300"/>
      <c r="U383" s="306"/>
      <c r="V383" s="308"/>
      <c r="W383" s="248"/>
      <c r="X383" s="342"/>
      <c r="Y383" s="337"/>
      <c r="Z383" s="123"/>
      <c r="AA383" s="83"/>
      <c r="AB383" s="123"/>
      <c r="AC383" s="83"/>
      <c r="AD383" s="123"/>
      <c r="AE383" s="83"/>
      <c r="AF383" s="123"/>
      <c r="AG383" s="243"/>
      <c r="AH383" s="33"/>
      <c r="AI383" s="245"/>
      <c r="AJ383" s="125"/>
      <c r="AK383" s="92"/>
      <c r="AL383" s="126"/>
      <c r="AM383" s="91"/>
      <c r="AN383" s="91"/>
      <c r="AO383" s="197">
        <f t="shared" si="23"/>
        <v>0</v>
      </c>
      <c r="AP383" s="126"/>
      <c r="AQ383" s="217"/>
      <c r="AR383" s="201"/>
      <c r="AS383" s="266"/>
      <c r="AT383" s="94"/>
      <c r="AU383" s="84"/>
      <c r="AV383" s="80"/>
      <c r="AW383" s="81"/>
      <c r="AX383" s="77"/>
      <c r="AY383" s="107"/>
      <c r="AZ383" s="220">
        <f t="shared" si="20"/>
        <v>0</v>
      </c>
      <c r="BA383" s="220">
        <f t="shared" si="21"/>
        <v>0</v>
      </c>
    </row>
    <row r="384" spans="1:53" ht="50.1" customHeight="1" x14ac:dyDescent="0.25">
      <c r="A384" s="17">
        <f t="shared" si="22"/>
        <v>370</v>
      </c>
      <c r="B384" s="229"/>
      <c r="C384" s="222"/>
      <c r="D384" s="112"/>
      <c r="E384" s="128"/>
      <c r="F384" s="183"/>
      <c r="G384" s="130"/>
      <c r="H384" s="131"/>
      <c r="I384" s="132"/>
      <c r="J384" s="189"/>
      <c r="K384" s="133"/>
      <c r="L384" s="134"/>
      <c r="M384" s="334"/>
      <c r="N384" s="343"/>
      <c r="O384" s="193"/>
      <c r="P384" s="191"/>
      <c r="Q384" s="193"/>
      <c r="R384" s="191"/>
      <c r="S384" s="296"/>
      <c r="T384" s="302"/>
      <c r="U384" s="306"/>
      <c r="V384" s="308"/>
      <c r="W384" s="249"/>
      <c r="X384" s="344"/>
      <c r="Y384" s="337"/>
      <c r="Z384" s="33"/>
      <c r="AA384" s="83"/>
      <c r="AB384" s="33"/>
      <c r="AC384" s="83"/>
      <c r="AD384" s="33"/>
      <c r="AE384" s="83"/>
      <c r="AF384" s="33"/>
      <c r="AG384" s="244"/>
      <c r="AH384" s="83"/>
      <c r="AI384" s="246"/>
      <c r="AJ384" s="102"/>
      <c r="AK384" s="92"/>
      <c r="AL384" s="91"/>
      <c r="AM384" s="92"/>
      <c r="AN384" s="351"/>
      <c r="AO384" s="197">
        <f t="shared" si="23"/>
        <v>0</v>
      </c>
      <c r="AP384" s="91"/>
      <c r="AQ384" s="217"/>
      <c r="AR384" s="103"/>
      <c r="AS384" s="264"/>
      <c r="AT384" s="94"/>
      <c r="AU384" s="84"/>
      <c r="AV384" s="136"/>
      <c r="AW384" s="81"/>
      <c r="AX384" s="137"/>
      <c r="AY384" s="138"/>
      <c r="AZ384" s="220">
        <f t="shared" si="20"/>
        <v>0</v>
      </c>
      <c r="BA384" s="220">
        <f t="shared" si="21"/>
        <v>0</v>
      </c>
    </row>
    <row r="385" spans="1:53" ht="50.1" customHeight="1" x14ac:dyDescent="0.25">
      <c r="A385" s="17">
        <f t="shared" si="22"/>
        <v>371</v>
      </c>
      <c r="B385" s="228"/>
      <c r="C385" s="221"/>
      <c r="D385" s="88"/>
      <c r="E385" s="100"/>
      <c r="F385" s="95"/>
      <c r="G385" s="114"/>
      <c r="H385" s="96"/>
      <c r="I385" s="97"/>
      <c r="J385" s="98"/>
      <c r="K385" s="101"/>
      <c r="L385" s="124"/>
      <c r="M385" s="333"/>
      <c r="N385" s="341"/>
      <c r="O385" s="190"/>
      <c r="P385" s="191"/>
      <c r="Q385" s="190"/>
      <c r="R385" s="191"/>
      <c r="S385" s="294"/>
      <c r="T385" s="300"/>
      <c r="U385" s="306"/>
      <c r="V385" s="308"/>
      <c r="W385" s="248"/>
      <c r="X385" s="342"/>
      <c r="Y385" s="337"/>
      <c r="Z385" s="123"/>
      <c r="AA385" s="83"/>
      <c r="AB385" s="123"/>
      <c r="AC385" s="83"/>
      <c r="AD385" s="123"/>
      <c r="AE385" s="83"/>
      <c r="AF385" s="123"/>
      <c r="AG385" s="243"/>
      <c r="AH385" s="33"/>
      <c r="AI385" s="245"/>
      <c r="AJ385" s="125"/>
      <c r="AK385" s="92"/>
      <c r="AL385" s="126"/>
      <c r="AM385" s="91"/>
      <c r="AN385" s="91"/>
      <c r="AO385" s="197">
        <f t="shared" si="23"/>
        <v>0</v>
      </c>
      <c r="AP385" s="126"/>
      <c r="AQ385" s="217"/>
      <c r="AR385" s="201"/>
      <c r="AS385" s="266"/>
      <c r="AT385" s="94"/>
      <c r="AU385" s="84"/>
      <c r="AV385" s="80"/>
      <c r="AW385" s="81"/>
      <c r="AX385" s="77"/>
      <c r="AY385" s="107"/>
      <c r="AZ385" s="220">
        <f t="shared" si="20"/>
        <v>0</v>
      </c>
      <c r="BA385" s="220">
        <f t="shared" si="21"/>
        <v>0</v>
      </c>
    </row>
    <row r="386" spans="1:53" ht="50.1" customHeight="1" x14ac:dyDescent="0.25">
      <c r="A386" s="17">
        <f t="shared" si="22"/>
        <v>372</v>
      </c>
      <c r="B386" s="229"/>
      <c r="C386" s="222"/>
      <c r="D386" s="112"/>
      <c r="E386" s="128"/>
      <c r="F386" s="183"/>
      <c r="G386" s="130"/>
      <c r="H386" s="131"/>
      <c r="I386" s="132"/>
      <c r="J386" s="189"/>
      <c r="K386" s="133"/>
      <c r="L386" s="134"/>
      <c r="M386" s="334"/>
      <c r="N386" s="343"/>
      <c r="O386" s="193"/>
      <c r="P386" s="191"/>
      <c r="Q386" s="193"/>
      <c r="R386" s="191"/>
      <c r="S386" s="296"/>
      <c r="T386" s="302"/>
      <c r="U386" s="306"/>
      <c r="V386" s="308"/>
      <c r="W386" s="249"/>
      <c r="X386" s="344"/>
      <c r="Y386" s="337"/>
      <c r="Z386" s="33"/>
      <c r="AA386" s="83"/>
      <c r="AB386" s="33"/>
      <c r="AC386" s="83"/>
      <c r="AD386" s="33"/>
      <c r="AE386" s="83"/>
      <c r="AF386" s="33"/>
      <c r="AG386" s="244"/>
      <c r="AH386" s="83"/>
      <c r="AI386" s="246"/>
      <c r="AJ386" s="102"/>
      <c r="AK386" s="92"/>
      <c r="AL386" s="91"/>
      <c r="AM386" s="92"/>
      <c r="AN386" s="351"/>
      <c r="AO386" s="197">
        <f t="shared" si="23"/>
        <v>0</v>
      </c>
      <c r="AP386" s="91"/>
      <c r="AQ386" s="217"/>
      <c r="AR386" s="103"/>
      <c r="AS386" s="264"/>
      <c r="AT386" s="94"/>
      <c r="AU386" s="84"/>
      <c r="AV386" s="136"/>
      <c r="AW386" s="81"/>
      <c r="AX386" s="137"/>
      <c r="AY386" s="138"/>
      <c r="AZ386" s="220">
        <f t="shared" si="20"/>
        <v>0</v>
      </c>
      <c r="BA386" s="220">
        <f t="shared" si="21"/>
        <v>0</v>
      </c>
    </row>
    <row r="387" spans="1:53" ht="50.1" customHeight="1" x14ac:dyDescent="0.25">
      <c r="A387" s="17">
        <f t="shared" si="22"/>
        <v>373</v>
      </c>
      <c r="B387" s="228"/>
      <c r="C387" s="221"/>
      <c r="D387" s="88"/>
      <c r="E387" s="100"/>
      <c r="F387" s="95"/>
      <c r="G387" s="114"/>
      <c r="H387" s="96"/>
      <c r="I387" s="97"/>
      <c r="J387" s="98"/>
      <c r="K387" s="101"/>
      <c r="L387" s="124"/>
      <c r="M387" s="333"/>
      <c r="N387" s="341"/>
      <c r="O387" s="190"/>
      <c r="P387" s="191"/>
      <c r="Q387" s="190"/>
      <c r="R387" s="191"/>
      <c r="S387" s="294"/>
      <c r="T387" s="300"/>
      <c r="U387" s="306"/>
      <c r="V387" s="308"/>
      <c r="W387" s="248"/>
      <c r="X387" s="342"/>
      <c r="Y387" s="337"/>
      <c r="Z387" s="123"/>
      <c r="AA387" s="83"/>
      <c r="AB387" s="123"/>
      <c r="AC387" s="83"/>
      <c r="AD387" s="123"/>
      <c r="AE387" s="83"/>
      <c r="AF387" s="123"/>
      <c r="AG387" s="243"/>
      <c r="AH387" s="33"/>
      <c r="AI387" s="245"/>
      <c r="AJ387" s="125"/>
      <c r="AK387" s="92"/>
      <c r="AL387" s="126"/>
      <c r="AM387" s="91"/>
      <c r="AN387" s="91"/>
      <c r="AO387" s="197">
        <f t="shared" si="23"/>
        <v>0</v>
      </c>
      <c r="AP387" s="126"/>
      <c r="AQ387" s="217"/>
      <c r="AR387" s="200"/>
      <c r="AS387" s="263"/>
      <c r="AT387" s="94"/>
      <c r="AU387" s="84"/>
      <c r="AV387" s="80"/>
      <c r="AW387" s="81"/>
      <c r="AX387" s="77"/>
      <c r="AY387" s="107"/>
      <c r="AZ387" s="220">
        <f t="shared" si="20"/>
        <v>0</v>
      </c>
      <c r="BA387" s="220">
        <f t="shared" si="21"/>
        <v>0</v>
      </c>
    </row>
    <row r="388" spans="1:53" ht="50.1" customHeight="1" x14ac:dyDescent="0.25">
      <c r="A388" s="17">
        <f t="shared" si="22"/>
        <v>374</v>
      </c>
      <c r="B388" s="229"/>
      <c r="C388" s="222"/>
      <c r="D388" s="112"/>
      <c r="E388" s="128"/>
      <c r="F388" s="183"/>
      <c r="G388" s="130"/>
      <c r="H388" s="131"/>
      <c r="I388" s="132"/>
      <c r="J388" s="189"/>
      <c r="K388" s="133"/>
      <c r="L388" s="134"/>
      <c r="M388" s="334"/>
      <c r="N388" s="343"/>
      <c r="O388" s="193"/>
      <c r="P388" s="191"/>
      <c r="Q388" s="193"/>
      <c r="R388" s="191"/>
      <c r="S388" s="296"/>
      <c r="T388" s="302"/>
      <c r="U388" s="306"/>
      <c r="V388" s="308"/>
      <c r="W388" s="249"/>
      <c r="X388" s="344"/>
      <c r="Y388" s="337"/>
      <c r="Z388" s="33"/>
      <c r="AA388" s="83"/>
      <c r="AB388" s="33"/>
      <c r="AC388" s="83"/>
      <c r="AD388" s="33"/>
      <c r="AE388" s="83"/>
      <c r="AF388" s="33"/>
      <c r="AG388" s="244"/>
      <c r="AH388" s="83"/>
      <c r="AI388" s="246"/>
      <c r="AJ388" s="102"/>
      <c r="AK388" s="92"/>
      <c r="AL388" s="91"/>
      <c r="AM388" s="92"/>
      <c r="AN388" s="351"/>
      <c r="AO388" s="197">
        <f t="shared" si="23"/>
        <v>0</v>
      </c>
      <c r="AP388" s="91"/>
      <c r="AQ388" s="217"/>
      <c r="AR388" s="103"/>
      <c r="AS388" s="264"/>
      <c r="AT388" s="94"/>
      <c r="AU388" s="84"/>
      <c r="AV388" s="136"/>
      <c r="AW388" s="81"/>
      <c r="AX388" s="137"/>
      <c r="AY388" s="138"/>
      <c r="AZ388" s="220">
        <f t="shared" si="20"/>
        <v>0</v>
      </c>
      <c r="BA388" s="220">
        <f t="shared" si="21"/>
        <v>0</v>
      </c>
    </row>
    <row r="389" spans="1:53" ht="50.1" customHeight="1" x14ac:dyDescent="0.25">
      <c r="A389" s="17">
        <f t="shared" si="22"/>
        <v>375</v>
      </c>
      <c r="B389" s="228"/>
      <c r="C389" s="221"/>
      <c r="D389" s="88"/>
      <c r="E389" s="100"/>
      <c r="F389" s="95"/>
      <c r="G389" s="114"/>
      <c r="H389" s="96"/>
      <c r="I389" s="97"/>
      <c r="J389" s="98"/>
      <c r="K389" s="101"/>
      <c r="L389" s="124"/>
      <c r="M389" s="333"/>
      <c r="N389" s="341"/>
      <c r="O389" s="190"/>
      <c r="P389" s="191"/>
      <c r="Q389" s="190"/>
      <c r="R389" s="191"/>
      <c r="S389" s="294"/>
      <c r="T389" s="300"/>
      <c r="U389" s="306"/>
      <c r="V389" s="308"/>
      <c r="W389" s="248"/>
      <c r="X389" s="342"/>
      <c r="Y389" s="337"/>
      <c r="Z389" s="123"/>
      <c r="AA389" s="83"/>
      <c r="AB389" s="123"/>
      <c r="AC389" s="83"/>
      <c r="AD389" s="123"/>
      <c r="AE389" s="83"/>
      <c r="AF389" s="123"/>
      <c r="AG389" s="243"/>
      <c r="AH389" s="33"/>
      <c r="AI389" s="245"/>
      <c r="AJ389" s="125"/>
      <c r="AK389" s="92"/>
      <c r="AL389" s="126"/>
      <c r="AM389" s="91"/>
      <c r="AN389" s="91"/>
      <c r="AO389" s="197">
        <f t="shared" si="23"/>
        <v>0</v>
      </c>
      <c r="AP389" s="126"/>
      <c r="AQ389" s="217"/>
      <c r="AR389" s="201"/>
      <c r="AS389" s="266"/>
      <c r="AT389" s="94"/>
      <c r="AU389" s="84"/>
      <c r="AV389" s="80"/>
      <c r="AW389" s="81"/>
      <c r="AX389" s="77"/>
      <c r="AY389" s="107"/>
      <c r="AZ389" s="220">
        <f t="shared" si="20"/>
        <v>0</v>
      </c>
      <c r="BA389" s="220">
        <f t="shared" si="21"/>
        <v>0</v>
      </c>
    </row>
    <row r="390" spans="1:53" ht="50.1" customHeight="1" x14ac:dyDescent="0.25">
      <c r="A390" s="17">
        <f t="shared" si="22"/>
        <v>376</v>
      </c>
      <c r="B390" s="229"/>
      <c r="C390" s="222"/>
      <c r="D390" s="112"/>
      <c r="E390" s="128"/>
      <c r="F390" s="183"/>
      <c r="G390" s="130"/>
      <c r="H390" s="131"/>
      <c r="I390" s="132"/>
      <c r="J390" s="189"/>
      <c r="K390" s="133"/>
      <c r="L390" s="134"/>
      <c r="M390" s="334"/>
      <c r="N390" s="343"/>
      <c r="O390" s="193"/>
      <c r="P390" s="191"/>
      <c r="Q390" s="193"/>
      <c r="R390" s="191"/>
      <c r="S390" s="296"/>
      <c r="T390" s="302"/>
      <c r="U390" s="306"/>
      <c r="V390" s="308"/>
      <c r="W390" s="249"/>
      <c r="X390" s="344"/>
      <c r="Y390" s="337"/>
      <c r="Z390" s="33"/>
      <c r="AA390" s="83"/>
      <c r="AB390" s="33"/>
      <c r="AC390" s="83"/>
      <c r="AD390" s="33"/>
      <c r="AE390" s="83"/>
      <c r="AF390" s="33"/>
      <c r="AG390" s="244"/>
      <c r="AH390" s="83"/>
      <c r="AI390" s="246"/>
      <c r="AJ390" s="195"/>
      <c r="AK390" s="92"/>
      <c r="AL390" s="91"/>
      <c r="AM390" s="92"/>
      <c r="AN390" s="351"/>
      <c r="AO390" s="197">
        <f t="shared" si="23"/>
        <v>0</v>
      </c>
      <c r="AP390" s="91"/>
      <c r="AQ390" s="217"/>
      <c r="AR390" s="196"/>
      <c r="AS390" s="265"/>
      <c r="AT390" s="94"/>
      <c r="AU390" s="84"/>
      <c r="AV390" s="136"/>
      <c r="AW390" s="81"/>
      <c r="AX390" s="137"/>
      <c r="AY390" s="138"/>
      <c r="AZ390" s="220">
        <f t="shared" si="20"/>
        <v>0</v>
      </c>
      <c r="BA390" s="220">
        <f t="shared" si="21"/>
        <v>0</v>
      </c>
    </row>
    <row r="391" spans="1:53" ht="50.1" customHeight="1" x14ac:dyDescent="0.25">
      <c r="A391" s="17">
        <f t="shared" si="22"/>
        <v>377</v>
      </c>
      <c r="B391" s="228"/>
      <c r="C391" s="221"/>
      <c r="D391" s="88"/>
      <c r="E391" s="100"/>
      <c r="F391" s="95"/>
      <c r="G391" s="114"/>
      <c r="H391" s="96"/>
      <c r="I391" s="97"/>
      <c r="J391" s="98"/>
      <c r="K391" s="101"/>
      <c r="L391" s="124"/>
      <c r="M391" s="333"/>
      <c r="N391" s="341"/>
      <c r="O391" s="190"/>
      <c r="P391" s="191"/>
      <c r="Q391" s="190"/>
      <c r="R391" s="191"/>
      <c r="S391" s="294"/>
      <c r="T391" s="300"/>
      <c r="U391" s="306"/>
      <c r="V391" s="308"/>
      <c r="W391" s="248"/>
      <c r="X391" s="342"/>
      <c r="Y391" s="337"/>
      <c r="Z391" s="123"/>
      <c r="AA391" s="83"/>
      <c r="AB391" s="123"/>
      <c r="AC391" s="83"/>
      <c r="AD391" s="123"/>
      <c r="AE391" s="83"/>
      <c r="AF391" s="123"/>
      <c r="AG391" s="243"/>
      <c r="AH391" s="33"/>
      <c r="AI391" s="245"/>
      <c r="AJ391" s="198"/>
      <c r="AK391" s="92"/>
      <c r="AL391" s="126"/>
      <c r="AM391" s="91"/>
      <c r="AN391" s="91"/>
      <c r="AO391" s="197">
        <f t="shared" si="23"/>
        <v>0</v>
      </c>
      <c r="AP391" s="126"/>
      <c r="AQ391" s="217"/>
      <c r="AR391" s="201"/>
      <c r="AS391" s="266"/>
      <c r="AT391" s="94"/>
      <c r="AU391" s="84"/>
      <c r="AV391" s="80"/>
      <c r="AW391" s="81"/>
      <c r="AX391" s="77"/>
      <c r="AY391" s="107"/>
      <c r="AZ391" s="220">
        <f t="shared" si="20"/>
        <v>0</v>
      </c>
      <c r="BA391" s="220">
        <f t="shared" si="21"/>
        <v>0</v>
      </c>
    </row>
    <row r="392" spans="1:53" ht="50.1" customHeight="1" x14ac:dyDescent="0.25">
      <c r="A392" s="17">
        <f t="shared" si="22"/>
        <v>378</v>
      </c>
      <c r="B392" s="229"/>
      <c r="C392" s="222"/>
      <c r="D392" s="112"/>
      <c r="E392" s="128"/>
      <c r="F392" s="183"/>
      <c r="G392" s="130"/>
      <c r="H392" s="131"/>
      <c r="I392" s="132"/>
      <c r="J392" s="189"/>
      <c r="K392" s="133"/>
      <c r="L392" s="134"/>
      <c r="M392" s="334"/>
      <c r="N392" s="343"/>
      <c r="O392" s="193"/>
      <c r="P392" s="191"/>
      <c r="Q392" s="193"/>
      <c r="R392" s="191"/>
      <c r="S392" s="296"/>
      <c r="T392" s="302"/>
      <c r="U392" s="306"/>
      <c r="V392" s="308"/>
      <c r="W392" s="249"/>
      <c r="X392" s="344"/>
      <c r="Y392" s="337"/>
      <c r="Z392" s="33"/>
      <c r="AA392" s="83"/>
      <c r="AB392" s="33"/>
      <c r="AC392" s="83"/>
      <c r="AD392" s="33"/>
      <c r="AE392" s="83"/>
      <c r="AF392" s="33"/>
      <c r="AG392" s="244"/>
      <c r="AH392" s="83"/>
      <c r="AI392" s="246"/>
      <c r="AJ392" s="102"/>
      <c r="AK392" s="92"/>
      <c r="AL392" s="91"/>
      <c r="AM392" s="92"/>
      <c r="AN392" s="351"/>
      <c r="AO392" s="197">
        <f t="shared" si="23"/>
        <v>0</v>
      </c>
      <c r="AP392" s="91"/>
      <c r="AQ392" s="217"/>
      <c r="AR392" s="196"/>
      <c r="AS392" s="265"/>
      <c r="AT392" s="94"/>
      <c r="AU392" s="84"/>
      <c r="AV392" s="136"/>
      <c r="AW392" s="81"/>
      <c r="AX392" s="137"/>
      <c r="AY392" s="138"/>
      <c r="AZ392" s="220">
        <f t="shared" si="20"/>
        <v>0</v>
      </c>
      <c r="BA392" s="220">
        <f t="shared" si="21"/>
        <v>0</v>
      </c>
    </row>
    <row r="393" spans="1:53" ht="50.1" customHeight="1" x14ac:dyDescent="0.25">
      <c r="A393" s="17">
        <f t="shared" si="22"/>
        <v>379</v>
      </c>
      <c r="B393" s="228"/>
      <c r="C393" s="221"/>
      <c r="D393" s="88"/>
      <c r="E393" s="100"/>
      <c r="F393" s="95"/>
      <c r="G393" s="114"/>
      <c r="H393" s="96"/>
      <c r="I393" s="97"/>
      <c r="J393" s="98"/>
      <c r="K393" s="101"/>
      <c r="L393" s="124"/>
      <c r="M393" s="333"/>
      <c r="N393" s="341"/>
      <c r="O393" s="190"/>
      <c r="P393" s="191"/>
      <c r="Q393" s="190"/>
      <c r="R393" s="191"/>
      <c r="S393" s="294"/>
      <c r="T393" s="300"/>
      <c r="U393" s="306"/>
      <c r="V393" s="308"/>
      <c r="W393" s="248"/>
      <c r="X393" s="342"/>
      <c r="Y393" s="337"/>
      <c r="Z393" s="123"/>
      <c r="AA393" s="83"/>
      <c r="AB393" s="123"/>
      <c r="AC393" s="83"/>
      <c r="AD393" s="123"/>
      <c r="AE393" s="83"/>
      <c r="AF393" s="123"/>
      <c r="AG393" s="243"/>
      <c r="AH393" s="33"/>
      <c r="AI393" s="245"/>
      <c r="AJ393" s="125"/>
      <c r="AK393" s="92"/>
      <c r="AL393" s="126"/>
      <c r="AM393" s="91"/>
      <c r="AN393" s="91"/>
      <c r="AO393" s="197">
        <f t="shared" si="23"/>
        <v>0</v>
      </c>
      <c r="AP393" s="126"/>
      <c r="AQ393" s="217"/>
      <c r="AR393" s="201"/>
      <c r="AS393" s="266"/>
      <c r="AT393" s="94"/>
      <c r="AU393" s="84"/>
      <c r="AV393" s="80"/>
      <c r="AW393" s="81"/>
      <c r="AX393" s="77"/>
      <c r="AY393" s="107"/>
      <c r="AZ393" s="220">
        <f t="shared" si="20"/>
        <v>0</v>
      </c>
      <c r="BA393" s="220">
        <f t="shared" si="21"/>
        <v>0</v>
      </c>
    </row>
    <row r="394" spans="1:53" ht="50.1" customHeight="1" x14ac:dyDescent="0.25">
      <c r="A394" s="17">
        <f t="shared" si="22"/>
        <v>380</v>
      </c>
      <c r="B394" s="229"/>
      <c r="C394" s="222"/>
      <c r="D394" s="112"/>
      <c r="E394" s="128"/>
      <c r="F394" s="183"/>
      <c r="G394" s="130"/>
      <c r="H394" s="131"/>
      <c r="I394" s="132"/>
      <c r="J394" s="189"/>
      <c r="K394" s="133"/>
      <c r="L394" s="134"/>
      <c r="M394" s="334"/>
      <c r="N394" s="343"/>
      <c r="O394" s="193"/>
      <c r="P394" s="191"/>
      <c r="Q394" s="193"/>
      <c r="R394" s="191"/>
      <c r="S394" s="296"/>
      <c r="T394" s="302"/>
      <c r="U394" s="306"/>
      <c r="V394" s="308"/>
      <c r="W394" s="249"/>
      <c r="X394" s="344"/>
      <c r="Y394" s="337"/>
      <c r="Z394" s="33"/>
      <c r="AA394" s="83"/>
      <c r="AB394" s="33"/>
      <c r="AC394" s="83"/>
      <c r="AD394" s="33"/>
      <c r="AE394" s="83"/>
      <c r="AF394" s="33"/>
      <c r="AG394" s="244"/>
      <c r="AH394" s="83"/>
      <c r="AI394" s="246"/>
      <c r="AJ394" s="102"/>
      <c r="AK394" s="92"/>
      <c r="AL394" s="91"/>
      <c r="AM394" s="92"/>
      <c r="AN394" s="351"/>
      <c r="AO394" s="197">
        <f t="shared" si="23"/>
        <v>0</v>
      </c>
      <c r="AP394" s="91"/>
      <c r="AQ394" s="217"/>
      <c r="AR394" s="196"/>
      <c r="AS394" s="265"/>
      <c r="AT394" s="94"/>
      <c r="AU394" s="84"/>
      <c r="AV394" s="136"/>
      <c r="AW394" s="81"/>
      <c r="AX394" s="137"/>
      <c r="AY394" s="138"/>
      <c r="AZ394" s="220">
        <f t="shared" si="20"/>
        <v>0</v>
      </c>
      <c r="BA394" s="220">
        <f t="shared" si="21"/>
        <v>0</v>
      </c>
    </row>
    <row r="395" spans="1:53" ht="50.1" customHeight="1" x14ac:dyDescent="0.25">
      <c r="A395" s="17">
        <f t="shared" si="22"/>
        <v>381</v>
      </c>
      <c r="B395" s="228"/>
      <c r="C395" s="221"/>
      <c r="D395" s="88"/>
      <c r="E395" s="100"/>
      <c r="F395" s="95"/>
      <c r="G395" s="114"/>
      <c r="H395" s="96"/>
      <c r="I395" s="97"/>
      <c r="J395" s="98"/>
      <c r="K395" s="101"/>
      <c r="L395" s="124"/>
      <c r="M395" s="333"/>
      <c r="N395" s="341"/>
      <c r="O395" s="190"/>
      <c r="P395" s="191"/>
      <c r="Q395" s="190"/>
      <c r="R395" s="191"/>
      <c r="S395" s="294"/>
      <c r="T395" s="300"/>
      <c r="U395" s="306"/>
      <c r="V395" s="308"/>
      <c r="W395" s="248"/>
      <c r="X395" s="342"/>
      <c r="Y395" s="337"/>
      <c r="Z395" s="123"/>
      <c r="AA395" s="83"/>
      <c r="AB395" s="123"/>
      <c r="AC395" s="83"/>
      <c r="AD395" s="123"/>
      <c r="AE395" s="83"/>
      <c r="AF395" s="123"/>
      <c r="AG395" s="243"/>
      <c r="AH395" s="33"/>
      <c r="AI395" s="245"/>
      <c r="AJ395" s="125"/>
      <c r="AK395" s="92"/>
      <c r="AL395" s="126"/>
      <c r="AM395" s="91"/>
      <c r="AN395" s="91"/>
      <c r="AO395" s="197">
        <f t="shared" si="23"/>
        <v>0</v>
      </c>
      <c r="AP395" s="126"/>
      <c r="AQ395" s="217"/>
      <c r="AR395" s="201"/>
      <c r="AS395" s="266"/>
      <c r="AT395" s="94"/>
      <c r="AU395" s="84"/>
      <c r="AV395" s="80"/>
      <c r="AW395" s="81"/>
      <c r="AX395" s="77"/>
      <c r="AY395" s="107"/>
      <c r="AZ395" s="220">
        <f t="shared" si="20"/>
        <v>0</v>
      </c>
      <c r="BA395" s="220">
        <f t="shared" si="21"/>
        <v>0</v>
      </c>
    </row>
    <row r="396" spans="1:53" ht="50.1" customHeight="1" x14ac:dyDescent="0.25">
      <c r="A396" s="17">
        <f t="shared" si="22"/>
        <v>382</v>
      </c>
      <c r="B396" s="229"/>
      <c r="C396" s="222"/>
      <c r="D396" s="112"/>
      <c r="E396" s="128"/>
      <c r="F396" s="183"/>
      <c r="G396" s="130"/>
      <c r="H396" s="131"/>
      <c r="I396" s="132"/>
      <c r="J396" s="189"/>
      <c r="K396" s="133"/>
      <c r="L396" s="134"/>
      <c r="M396" s="334"/>
      <c r="N396" s="343"/>
      <c r="O396" s="193"/>
      <c r="P396" s="191"/>
      <c r="Q396" s="193"/>
      <c r="R396" s="191"/>
      <c r="S396" s="296"/>
      <c r="T396" s="302"/>
      <c r="U396" s="306"/>
      <c r="V396" s="308"/>
      <c r="W396" s="249"/>
      <c r="X396" s="344"/>
      <c r="Y396" s="337"/>
      <c r="Z396" s="33"/>
      <c r="AA396" s="83"/>
      <c r="AB396" s="33"/>
      <c r="AC396" s="83"/>
      <c r="AD396" s="33"/>
      <c r="AE396" s="83"/>
      <c r="AF396" s="33"/>
      <c r="AG396" s="244"/>
      <c r="AH396" s="83"/>
      <c r="AI396" s="246"/>
      <c r="AJ396" s="102"/>
      <c r="AK396" s="92"/>
      <c r="AL396" s="91"/>
      <c r="AM396" s="92"/>
      <c r="AN396" s="351"/>
      <c r="AO396" s="197">
        <f t="shared" si="23"/>
        <v>0</v>
      </c>
      <c r="AP396" s="91"/>
      <c r="AQ396" s="217"/>
      <c r="AR396" s="196"/>
      <c r="AS396" s="265"/>
      <c r="AT396" s="94"/>
      <c r="AU396" s="84"/>
      <c r="AV396" s="136"/>
      <c r="AW396" s="81"/>
      <c r="AX396" s="137"/>
      <c r="AY396" s="138"/>
      <c r="AZ396" s="220">
        <f t="shared" si="20"/>
        <v>0</v>
      </c>
      <c r="BA396" s="220">
        <f t="shared" si="21"/>
        <v>0</v>
      </c>
    </row>
    <row r="397" spans="1:53" ht="50.1" customHeight="1" x14ac:dyDescent="0.25">
      <c r="A397" s="17">
        <f t="shared" si="22"/>
        <v>383</v>
      </c>
      <c r="B397" s="228"/>
      <c r="C397" s="221"/>
      <c r="D397" s="88"/>
      <c r="E397" s="100"/>
      <c r="F397" s="95"/>
      <c r="G397" s="114"/>
      <c r="H397" s="96"/>
      <c r="I397" s="97"/>
      <c r="J397" s="98"/>
      <c r="K397" s="101"/>
      <c r="L397" s="124"/>
      <c r="M397" s="333"/>
      <c r="N397" s="341"/>
      <c r="O397" s="190"/>
      <c r="P397" s="191"/>
      <c r="Q397" s="190"/>
      <c r="R397" s="191"/>
      <c r="S397" s="294"/>
      <c r="T397" s="300"/>
      <c r="U397" s="306"/>
      <c r="V397" s="308"/>
      <c r="W397" s="248"/>
      <c r="X397" s="342"/>
      <c r="Y397" s="337"/>
      <c r="Z397" s="123"/>
      <c r="AA397" s="83"/>
      <c r="AB397" s="123"/>
      <c r="AC397" s="83"/>
      <c r="AD397" s="123"/>
      <c r="AE397" s="83"/>
      <c r="AF397" s="123"/>
      <c r="AG397" s="243"/>
      <c r="AH397" s="33"/>
      <c r="AI397" s="245"/>
      <c r="AJ397" s="125"/>
      <c r="AK397" s="92"/>
      <c r="AL397" s="126"/>
      <c r="AM397" s="91"/>
      <c r="AN397" s="91"/>
      <c r="AO397" s="197">
        <f t="shared" si="23"/>
        <v>0</v>
      </c>
      <c r="AP397" s="126"/>
      <c r="AQ397" s="217"/>
      <c r="AR397" s="201"/>
      <c r="AS397" s="266"/>
      <c r="AT397" s="94"/>
      <c r="AU397" s="84"/>
      <c r="AV397" s="80"/>
      <c r="AW397" s="81"/>
      <c r="AX397" s="77"/>
      <c r="AY397" s="107"/>
      <c r="AZ397" s="220">
        <f t="shared" si="20"/>
        <v>0</v>
      </c>
      <c r="BA397" s="220">
        <f t="shared" si="21"/>
        <v>0</v>
      </c>
    </row>
    <row r="398" spans="1:53" ht="50.1" customHeight="1" x14ac:dyDescent="0.25">
      <c r="A398" s="17">
        <f t="shared" si="22"/>
        <v>384</v>
      </c>
      <c r="B398" s="229"/>
      <c r="C398" s="222"/>
      <c r="D398" s="112"/>
      <c r="E398" s="128"/>
      <c r="F398" s="183"/>
      <c r="G398" s="130"/>
      <c r="H398" s="131"/>
      <c r="I398" s="132"/>
      <c r="J398" s="189"/>
      <c r="K398" s="133"/>
      <c r="L398" s="134"/>
      <c r="M398" s="334"/>
      <c r="N398" s="343"/>
      <c r="O398" s="193"/>
      <c r="P398" s="191"/>
      <c r="Q398" s="193"/>
      <c r="R398" s="191"/>
      <c r="S398" s="296"/>
      <c r="T398" s="302"/>
      <c r="U398" s="306"/>
      <c r="V398" s="308"/>
      <c r="W398" s="249"/>
      <c r="X398" s="344"/>
      <c r="Y398" s="337"/>
      <c r="Z398" s="33"/>
      <c r="AA398" s="83"/>
      <c r="AB398" s="33"/>
      <c r="AC398" s="83"/>
      <c r="AD398" s="33"/>
      <c r="AE398" s="83"/>
      <c r="AF398" s="33"/>
      <c r="AG398" s="244"/>
      <c r="AH398" s="83"/>
      <c r="AI398" s="246"/>
      <c r="AJ398" s="102"/>
      <c r="AK398" s="92"/>
      <c r="AL398" s="91"/>
      <c r="AM398" s="92"/>
      <c r="AN398" s="351"/>
      <c r="AO398" s="197">
        <f t="shared" si="23"/>
        <v>0</v>
      </c>
      <c r="AP398" s="91"/>
      <c r="AQ398" s="217"/>
      <c r="AR398" s="196"/>
      <c r="AS398" s="265"/>
      <c r="AT398" s="94"/>
      <c r="AU398" s="84"/>
      <c r="AV398" s="136"/>
      <c r="AW398" s="81"/>
      <c r="AX398" s="137"/>
      <c r="AY398" s="138"/>
      <c r="AZ398" s="220">
        <f t="shared" si="20"/>
        <v>0</v>
      </c>
      <c r="BA398" s="220">
        <f t="shared" si="21"/>
        <v>0</v>
      </c>
    </row>
    <row r="399" spans="1:53" ht="50.1" customHeight="1" x14ac:dyDescent="0.25">
      <c r="A399" s="17">
        <f t="shared" si="22"/>
        <v>385</v>
      </c>
      <c r="B399" s="228"/>
      <c r="C399" s="221"/>
      <c r="D399" s="88"/>
      <c r="E399" s="100"/>
      <c r="F399" s="95"/>
      <c r="G399" s="114"/>
      <c r="H399" s="96"/>
      <c r="I399" s="97"/>
      <c r="J399" s="98"/>
      <c r="K399" s="101"/>
      <c r="L399" s="124"/>
      <c r="M399" s="333"/>
      <c r="N399" s="341"/>
      <c r="O399" s="190"/>
      <c r="P399" s="191"/>
      <c r="Q399" s="190"/>
      <c r="R399" s="191"/>
      <c r="S399" s="294"/>
      <c r="T399" s="300"/>
      <c r="U399" s="306"/>
      <c r="V399" s="308"/>
      <c r="W399" s="248"/>
      <c r="X399" s="342"/>
      <c r="Y399" s="337"/>
      <c r="Z399" s="123"/>
      <c r="AA399" s="83"/>
      <c r="AB399" s="123"/>
      <c r="AC399" s="83"/>
      <c r="AD399" s="123"/>
      <c r="AE399" s="83"/>
      <c r="AF399" s="123"/>
      <c r="AG399" s="243"/>
      <c r="AH399" s="33"/>
      <c r="AI399" s="245"/>
      <c r="AJ399" s="125"/>
      <c r="AK399" s="92"/>
      <c r="AL399" s="126"/>
      <c r="AM399" s="91"/>
      <c r="AN399" s="91"/>
      <c r="AO399" s="197">
        <f t="shared" si="23"/>
        <v>0</v>
      </c>
      <c r="AP399" s="126"/>
      <c r="AQ399" s="217"/>
      <c r="AR399" s="201"/>
      <c r="AS399" s="266"/>
      <c r="AT399" s="94"/>
      <c r="AU399" s="84"/>
      <c r="AV399" s="80"/>
      <c r="AW399" s="81"/>
      <c r="AX399" s="77"/>
      <c r="AY399" s="107"/>
      <c r="AZ399" s="220">
        <f t="shared" ref="AZ399:AZ462" si="24">M399-B399</f>
        <v>0</v>
      </c>
      <c r="BA399" s="220">
        <f t="shared" ref="BA399:BA462" si="25">AU399-M399</f>
        <v>0</v>
      </c>
    </row>
    <row r="400" spans="1:53" ht="50.1" customHeight="1" x14ac:dyDescent="0.25">
      <c r="A400" s="17">
        <f t="shared" ref="A400:A463" si="26">ROW(A386)</f>
        <v>386</v>
      </c>
      <c r="B400" s="229"/>
      <c r="C400" s="222"/>
      <c r="D400" s="112"/>
      <c r="E400" s="128"/>
      <c r="F400" s="183"/>
      <c r="G400" s="130"/>
      <c r="H400" s="131"/>
      <c r="I400" s="132"/>
      <c r="J400" s="189"/>
      <c r="K400" s="133"/>
      <c r="L400" s="134"/>
      <c r="M400" s="334"/>
      <c r="N400" s="343"/>
      <c r="O400" s="193"/>
      <c r="P400" s="191"/>
      <c r="Q400" s="193"/>
      <c r="R400" s="191"/>
      <c r="S400" s="296"/>
      <c r="T400" s="302"/>
      <c r="U400" s="306"/>
      <c r="V400" s="308"/>
      <c r="W400" s="249"/>
      <c r="X400" s="344"/>
      <c r="Y400" s="337"/>
      <c r="Z400" s="33"/>
      <c r="AA400" s="83"/>
      <c r="AB400" s="33"/>
      <c r="AC400" s="83"/>
      <c r="AD400" s="33"/>
      <c r="AE400" s="83"/>
      <c r="AF400" s="33"/>
      <c r="AG400" s="244"/>
      <c r="AH400" s="83"/>
      <c r="AI400" s="246"/>
      <c r="AJ400" s="102"/>
      <c r="AK400" s="92"/>
      <c r="AL400" s="91"/>
      <c r="AM400" s="92"/>
      <c r="AN400" s="351"/>
      <c r="AO400" s="197">
        <f t="shared" ref="AO400:AO463" si="27">AJ400-AK400-AL400-AM400-AN400</f>
        <v>0</v>
      </c>
      <c r="AP400" s="91"/>
      <c r="AQ400" s="217"/>
      <c r="AR400" s="196"/>
      <c r="AS400" s="265"/>
      <c r="AT400" s="94"/>
      <c r="AU400" s="84"/>
      <c r="AV400" s="136"/>
      <c r="AW400" s="81"/>
      <c r="AX400" s="137"/>
      <c r="AY400" s="138"/>
      <c r="AZ400" s="220">
        <f t="shared" si="24"/>
        <v>0</v>
      </c>
      <c r="BA400" s="220">
        <f t="shared" si="25"/>
        <v>0</v>
      </c>
    </row>
    <row r="401" spans="1:53" ht="50.1" customHeight="1" x14ac:dyDescent="0.25">
      <c r="A401" s="17">
        <f t="shared" si="26"/>
        <v>387</v>
      </c>
      <c r="B401" s="228"/>
      <c r="C401" s="221"/>
      <c r="D401" s="88"/>
      <c r="E401" s="100"/>
      <c r="F401" s="95"/>
      <c r="G401" s="114"/>
      <c r="H401" s="96"/>
      <c r="I401" s="97"/>
      <c r="J401" s="98"/>
      <c r="K401" s="101"/>
      <c r="L401" s="124"/>
      <c r="M401" s="333"/>
      <c r="N401" s="341"/>
      <c r="O401" s="190"/>
      <c r="P401" s="191"/>
      <c r="Q401" s="190"/>
      <c r="R401" s="191"/>
      <c r="S401" s="294"/>
      <c r="T401" s="300"/>
      <c r="U401" s="306"/>
      <c r="V401" s="308"/>
      <c r="W401" s="248"/>
      <c r="X401" s="345"/>
      <c r="Y401" s="337"/>
      <c r="Z401" s="123"/>
      <c r="AA401" s="83"/>
      <c r="AB401" s="123"/>
      <c r="AC401" s="83"/>
      <c r="AD401" s="123"/>
      <c r="AE401" s="83"/>
      <c r="AF401" s="123"/>
      <c r="AG401" s="243"/>
      <c r="AH401" s="123"/>
      <c r="AI401" s="245"/>
      <c r="AJ401" s="125"/>
      <c r="AK401" s="92"/>
      <c r="AL401" s="126"/>
      <c r="AM401" s="91"/>
      <c r="AN401" s="91"/>
      <c r="AO401" s="197">
        <f t="shared" si="27"/>
        <v>0</v>
      </c>
      <c r="AP401" s="126"/>
      <c r="AQ401" s="217"/>
      <c r="AR401" s="201"/>
      <c r="AS401" s="266"/>
      <c r="AT401" s="94"/>
      <c r="AU401" s="84"/>
      <c r="AV401" s="80"/>
      <c r="AW401" s="81"/>
      <c r="AX401" s="77"/>
      <c r="AY401" s="107"/>
      <c r="AZ401" s="220">
        <f t="shared" si="24"/>
        <v>0</v>
      </c>
      <c r="BA401" s="220">
        <f t="shared" si="25"/>
        <v>0</v>
      </c>
    </row>
    <row r="402" spans="1:53" ht="50.1" customHeight="1" x14ac:dyDescent="0.25">
      <c r="A402" s="17">
        <f t="shared" si="26"/>
        <v>388</v>
      </c>
      <c r="B402" s="229"/>
      <c r="C402" s="222"/>
      <c r="D402" s="112"/>
      <c r="E402" s="128"/>
      <c r="F402" s="183"/>
      <c r="G402" s="130"/>
      <c r="H402" s="131"/>
      <c r="I402" s="132"/>
      <c r="J402" s="189"/>
      <c r="K402" s="133"/>
      <c r="L402" s="134"/>
      <c r="M402" s="334"/>
      <c r="N402" s="343"/>
      <c r="O402" s="193"/>
      <c r="P402" s="191"/>
      <c r="Q402" s="193"/>
      <c r="R402" s="191"/>
      <c r="S402" s="296"/>
      <c r="T402" s="302"/>
      <c r="U402" s="306"/>
      <c r="V402" s="308"/>
      <c r="W402" s="249"/>
      <c r="X402" s="344"/>
      <c r="Y402" s="337"/>
      <c r="Z402" s="33"/>
      <c r="AA402" s="83"/>
      <c r="AB402" s="33"/>
      <c r="AC402" s="83"/>
      <c r="AD402" s="33"/>
      <c r="AE402" s="83"/>
      <c r="AF402" s="33"/>
      <c r="AG402" s="244"/>
      <c r="AH402" s="83"/>
      <c r="AI402" s="246"/>
      <c r="AJ402" s="102"/>
      <c r="AK402" s="92"/>
      <c r="AL402" s="91"/>
      <c r="AM402" s="92"/>
      <c r="AN402" s="351"/>
      <c r="AO402" s="197">
        <f t="shared" si="27"/>
        <v>0</v>
      </c>
      <c r="AP402" s="91"/>
      <c r="AQ402" s="217"/>
      <c r="AR402" s="196"/>
      <c r="AS402" s="265"/>
      <c r="AT402" s="94"/>
      <c r="AU402" s="84"/>
      <c r="AV402" s="136"/>
      <c r="AW402" s="81"/>
      <c r="AX402" s="137"/>
      <c r="AY402" s="138"/>
      <c r="AZ402" s="220">
        <f t="shared" si="24"/>
        <v>0</v>
      </c>
      <c r="BA402" s="220">
        <f t="shared" si="25"/>
        <v>0</v>
      </c>
    </row>
    <row r="403" spans="1:53" ht="50.1" customHeight="1" x14ac:dyDescent="0.25">
      <c r="A403" s="17">
        <f t="shared" si="26"/>
        <v>389</v>
      </c>
      <c r="B403" s="228"/>
      <c r="C403" s="221"/>
      <c r="D403" s="88"/>
      <c r="E403" s="100"/>
      <c r="F403" s="95"/>
      <c r="G403" s="114"/>
      <c r="H403" s="96"/>
      <c r="I403" s="97"/>
      <c r="J403" s="98"/>
      <c r="K403" s="101"/>
      <c r="L403" s="124"/>
      <c r="M403" s="333"/>
      <c r="N403" s="341"/>
      <c r="O403" s="190"/>
      <c r="P403" s="191"/>
      <c r="Q403" s="190"/>
      <c r="R403" s="191"/>
      <c r="S403" s="294"/>
      <c r="T403" s="300"/>
      <c r="U403" s="306"/>
      <c r="V403" s="308"/>
      <c r="W403" s="248"/>
      <c r="X403" s="342"/>
      <c r="Y403" s="337"/>
      <c r="Z403" s="123"/>
      <c r="AA403" s="83"/>
      <c r="AB403" s="123"/>
      <c r="AC403" s="83"/>
      <c r="AD403" s="123"/>
      <c r="AE403" s="83"/>
      <c r="AF403" s="123"/>
      <c r="AG403" s="243"/>
      <c r="AH403" s="33"/>
      <c r="AI403" s="245"/>
      <c r="AJ403" s="125"/>
      <c r="AK403" s="92"/>
      <c r="AL403" s="126"/>
      <c r="AM403" s="91"/>
      <c r="AN403" s="91"/>
      <c r="AO403" s="197">
        <f t="shared" si="27"/>
        <v>0</v>
      </c>
      <c r="AP403" s="126"/>
      <c r="AQ403" s="217"/>
      <c r="AR403" s="201"/>
      <c r="AS403" s="266"/>
      <c r="AT403" s="94"/>
      <c r="AU403" s="84"/>
      <c r="AV403" s="80"/>
      <c r="AW403" s="81"/>
      <c r="AX403" s="77"/>
      <c r="AY403" s="107"/>
      <c r="AZ403" s="220">
        <f t="shared" si="24"/>
        <v>0</v>
      </c>
      <c r="BA403" s="220">
        <f t="shared" si="25"/>
        <v>0</v>
      </c>
    </row>
    <row r="404" spans="1:53" ht="50.1" customHeight="1" x14ac:dyDescent="0.25">
      <c r="A404" s="17">
        <f t="shared" si="26"/>
        <v>390</v>
      </c>
      <c r="B404" s="229"/>
      <c r="C404" s="222"/>
      <c r="D404" s="112"/>
      <c r="E404" s="128"/>
      <c r="F404" s="183"/>
      <c r="G404" s="130"/>
      <c r="H404" s="131"/>
      <c r="I404" s="132"/>
      <c r="J404" s="189"/>
      <c r="K404" s="133"/>
      <c r="L404" s="134"/>
      <c r="M404" s="334"/>
      <c r="N404" s="343"/>
      <c r="O404" s="193"/>
      <c r="P404" s="191"/>
      <c r="Q404" s="193"/>
      <c r="R404" s="191"/>
      <c r="S404" s="296"/>
      <c r="T404" s="302"/>
      <c r="U404" s="306"/>
      <c r="V404" s="308"/>
      <c r="W404" s="249"/>
      <c r="X404" s="344"/>
      <c r="Y404" s="337"/>
      <c r="Z404" s="33"/>
      <c r="AA404" s="83"/>
      <c r="AB404" s="33"/>
      <c r="AC404" s="83"/>
      <c r="AD404" s="33"/>
      <c r="AE404" s="83"/>
      <c r="AF404" s="33"/>
      <c r="AG404" s="244"/>
      <c r="AH404" s="83"/>
      <c r="AI404" s="246"/>
      <c r="AJ404" s="102"/>
      <c r="AK404" s="92"/>
      <c r="AL404" s="91"/>
      <c r="AM404" s="92"/>
      <c r="AN404" s="351"/>
      <c r="AO404" s="197">
        <f t="shared" si="27"/>
        <v>0</v>
      </c>
      <c r="AP404" s="91"/>
      <c r="AQ404" s="217"/>
      <c r="AR404" s="196"/>
      <c r="AS404" s="265"/>
      <c r="AT404" s="94"/>
      <c r="AU404" s="84"/>
      <c r="AV404" s="136"/>
      <c r="AW404" s="81"/>
      <c r="AX404" s="137"/>
      <c r="AY404" s="138"/>
      <c r="AZ404" s="220">
        <f t="shared" si="24"/>
        <v>0</v>
      </c>
      <c r="BA404" s="220">
        <f t="shared" si="25"/>
        <v>0</v>
      </c>
    </row>
    <row r="405" spans="1:53" ht="50.1" customHeight="1" x14ac:dyDescent="0.25">
      <c r="A405" s="17">
        <f t="shared" si="26"/>
        <v>391</v>
      </c>
      <c r="B405" s="228"/>
      <c r="C405" s="221"/>
      <c r="D405" s="88"/>
      <c r="E405" s="100"/>
      <c r="F405" s="95"/>
      <c r="G405" s="114"/>
      <c r="H405" s="96"/>
      <c r="I405" s="97"/>
      <c r="J405" s="98"/>
      <c r="K405" s="101"/>
      <c r="L405" s="124"/>
      <c r="M405" s="333"/>
      <c r="N405" s="346"/>
      <c r="O405" s="190"/>
      <c r="P405" s="191"/>
      <c r="Q405" s="190"/>
      <c r="R405" s="191"/>
      <c r="S405" s="294"/>
      <c r="T405" s="300"/>
      <c r="U405" s="306"/>
      <c r="V405" s="308"/>
      <c r="W405" s="248"/>
      <c r="X405" s="342"/>
      <c r="Y405" s="337"/>
      <c r="Z405" s="123"/>
      <c r="AA405" s="83"/>
      <c r="AB405" s="123"/>
      <c r="AC405" s="83"/>
      <c r="AD405" s="123"/>
      <c r="AE405" s="83"/>
      <c r="AF405" s="123"/>
      <c r="AG405" s="243"/>
      <c r="AH405" s="33"/>
      <c r="AI405" s="245"/>
      <c r="AJ405" s="125"/>
      <c r="AK405" s="92"/>
      <c r="AL405" s="126"/>
      <c r="AM405" s="91"/>
      <c r="AN405" s="91"/>
      <c r="AO405" s="197">
        <f t="shared" si="27"/>
        <v>0</v>
      </c>
      <c r="AP405" s="126"/>
      <c r="AQ405" s="217"/>
      <c r="AR405" s="201"/>
      <c r="AS405" s="266"/>
      <c r="AT405" s="94"/>
      <c r="AU405" s="84"/>
      <c r="AV405" s="80"/>
      <c r="AW405" s="81"/>
      <c r="AX405" s="77"/>
      <c r="AY405" s="107"/>
      <c r="AZ405" s="220">
        <f t="shared" si="24"/>
        <v>0</v>
      </c>
      <c r="BA405" s="220">
        <f t="shared" si="25"/>
        <v>0</v>
      </c>
    </row>
    <row r="406" spans="1:53" ht="50.1" customHeight="1" x14ac:dyDescent="0.25">
      <c r="A406" s="17">
        <f t="shared" si="26"/>
        <v>392</v>
      </c>
      <c r="B406" s="229"/>
      <c r="C406" s="222"/>
      <c r="D406" s="112"/>
      <c r="E406" s="128"/>
      <c r="F406" s="183"/>
      <c r="G406" s="130"/>
      <c r="H406" s="131"/>
      <c r="I406" s="132"/>
      <c r="J406" s="189"/>
      <c r="K406" s="133"/>
      <c r="L406" s="134"/>
      <c r="M406" s="334"/>
      <c r="N406" s="343"/>
      <c r="O406" s="193"/>
      <c r="P406" s="191"/>
      <c r="Q406" s="193"/>
      <c r="R406" s="191"/>
      <c r="S406" s="296"/>
      <c r="T406" s="302"/>
      <c r="U406" s="306"/>
      <c r="V406" s="308"/>
      <c r="W406" s="249"/>
      <c r="X406" s="344"/>
      <c r="Y406" s="337"/>
      <c r="Z406" s="33"/>
      <c r="AA406" s="83"/>
      <c r="AB406" s="33"/>
      <c r="AC406" s="83"/>
      <c r="AD406" s="33"/>
      <c r="AE406" s="83"/>
      <c r="AF406" s="33"/>
      <c r="AG406" s="244"/>
      <c r="AH406" s="83"/>
      <c r="AI406" s="246"/>
      <c r="AJ406" s="195"/>
      <c r="AK406" s="92"/>
      <c r="AL406" s="91"/>
      <c r="AM406" s="92"/>
      <c r="AN406" s="351"/>
      <c r="AO406" s="197">
        <f t="shared" si="27"/>
        <v>0</v>
      </c>
      <c r="AP406" s="91"/>
      <c r="AQ406" s="217"/>
      <c r="AR406" s="196"/>
      <c r="AS406" s="265"/>
      <c r="AT406" s="94"/>
      <c r="AU406" s="84"/>
      <c r="AV406" s="136"/>
      <c r="AW406" s="81"/>
      <c r="AX406" s="137"/>
      <c r="AY406" s="138"/>
      <c r="AZ406" s="220">
        <f t="shared" si="24"/>
        <v>0</v>
      </c>
      <c r="BA406" s="220">
        <f t="shared" si="25"/>
        <v>0</v>
      </c>
    </row>
    <row r="407" spans="1:53" ht="50.1" customHeight="1" x14ac:dyDescent="0.25">
      <c r="A407" s="17">
        <f t="shared" si="26"/>
        <v>393</v>
      </c>
      <c r="B407" s="228"/>
      <c r="C407" s="221"/>
      <c r="D407" s="88"/>
      <c r="E407" s="100"/>
      <c r="F407" s="95"/>
      <c r="G407" s="114"/>
      <c r="H407" s="96"/>
      <c r="I407" s="97"/>
      <c r="J407" s="98"/>
      <c r="K407" s="101"/>
      <c r="L407" s="124"/>
      <c r="M407" s="333"/>
      <c r="N407" s="341"/>
      <c r="O407" s="190"/>
      <c r="P407" s="191"/>
      <c r="Q407" s="190"/>
      <c r="R407" s="191"/>
      <c r="S407" s="294"/>
      <c r="T407" s="300"/>
      <c r="U407" s="306"/>
      <c r="V407" s="308"/>
      <c r="W407" s="248"/>
      <c r="X407" s="342"/>
      <c r="Y407" s="337"/>
      <c r="Z407" s="123"/>
      <c r="AA407" s="83"/>
      <c r="AB407" s="123"/>
      <c r="AC407" s="83"/>
      <c r="AD407" s="123"/>
      <c r="AE407" s="83"/>
      <c r="AF407" s="123"/>
      <c r="AG407" s="243"/>
      <c r="AH407" s="33"/>
      <c r="AI407" s="245"/>
      <c r="AJ407" s="125"/>
      <c r="AK407" s="92"/>
      <c r="AL407" s="126"/>
      <c r="AM407" s="91"/>
      <c r="AN407" s="91"/>
      <c r="AO407" s="197">
        <f t="shared" si="27"/>
        <v>0</v>
      </c>
      <c r="AP407" s="126"/>
      <c r="AQ407" s="217"/>
      <c r="AR407" s="201"/>
      <c r="AS407" s="266"/>
      <c r="AT407" s="94"/>
      <c r="AU407" s="84"/>
      <c r="AV407" s="80"/>
      <c r="AW407" s="81"/>
      <c r="AX407" s="77"/>
      <c r="AY407" s="107"/>
      <c r="AZ407" s="220">
        <f t="shared" si="24"/>
        <v>0</v>
      </c>
      <c r="BA407" s="220">
        <f t="shared" si="25"/>
        <v>0</v>
      </c>
    </row>
    <row r="408" spans="1:53" ht="50.1" customHeight="1" x14ac:dyDescent="0.25">
      <c r="A408" s="17">
        <f t="shared" si="26"/>
        <v>394</v>
      </c>
      <c r="B408" s="229"/>
      <c r="C408" s="222"/>
      <c r="D408" s="112"/>
      <c r="E408" s="128"/>
      <c r="F408" s="183"/>
      <c r="G408" s="130"/>
      <c r="H408" s="131"/>
      <c r="I408" s="132"/>
      <c r="J408" s="189"/>
      <c r="K408" s="133"/>
      <c r="L408" s="134"/>
      <c r="M408" s="334"/>
      <c r="N408" s="343"/>
      <c r="O408" s="193"/>
      <c r="P408" s="191"/>
      <c r="Q408" s="193"/>
      <c r="R408" s="191"/>
      <c r="S408" s="296"/>
      <c r="T408" s="302"/>
      <c r="U408" s="306"/>
      <c r="V408" s="308"/>
      <c r="W408" s="249"/>
      <c r="X408" s="344"/>
      <c r="Y408" s="337"/>
      <c r="Z408" s="33"/>
      <c r="AA408" s="83"/>
      <c r="AB408" s="33"/>
      <c r="AC408" s="83"/>
      <c r="AD408" s="33"/>
      <c r="AE408" s="83"/>
      <c r="AF408" s="33"/>
      <c r="AG408" s="244"/>
      <c r="AH408" s="83"/>
      <c r="AI408" s="246"/>
      <c r="AJ408" s="195"/>
      <c r="AK408" s="92"/>
      <c r="AL408" s="91"/>
      <c r="AM408" s="92"/>
      <c r="AN408" s="351"/>
      <c r="AO408" s="197">
        <f t="shared" si="27"/>
        <v>0</v>
      </c>
      <c r="AP408" s="91"/>
      <c r="AQ408" s="217"/>
      <c r="AR408" s="196"/>
      <c r="AS408" s="265"/>
      <c r="AT408" s="94"/>
      <c r="AU408" s="84"/>
      <c r="AV408" s="136"/>
      <c r="AW408" s="81"/>
      <c r="AX408" s="137"/>
      <c r="AY408" s="138"/>
      <c r="AZ408" s="220">
        <f t="shared" si="24"/>
        <v>0</v>
      </c>
      <c r="BA408" s="220">
        <f t="shared" si="25"/>
        <v>0</v>
      </c>
    </row>
    <row r="409" spans="1:53" ht="50.1" customHeight="1" x14ac:dyDescent="0.25">
      <c r="A409" s="17">
        <f t="shared" si="26"/>
        <v>395</v>
      </c>
      <c r="B409" s="228"/>
      <c r="C409" s="221"/>
      <c r="D409" s="88"/>
      <c r="E409" s="100"/>
      <c r="F409" s="95"/>
      <c r="G409" s="114"/>
      <c r="H409" s="96"/>
      <c r="I409" s="97"/>
      <c r="J409" s="98"/>
      <c r="K409" s="101"/>
      <c r="L409" s="124"/>
      <c r="M409" s="333"/>
      <c r="N409" s="341"/>
      <c r="O409" s="190"/>
      <c r="P409" s="191"/>
      <c r="Q409" s="190"/>
      <c r="R409" s="191"/>
      <c r="S409" s="294"/>
      <c r="T409" s="300"/>
      <c r="U409" s="306"/>
      <c r="V409" s="308"/>
      <c r="W409" s="248"/>
      <c r="X409" s="342"/>
      <c r="Y409" s="337"/>
      <c r="Z409" s="123"/>
      <c r="AA409" s="83"/>
      <c r="AB409" s="123"/>
      <c r="AC409" s="83"/>
      <c r="AD409" s="123"/>
      <c r="AE409" s="83"/>
      <c r="AF409" s="123"/>
      <c r="AG409" s="243"/>
      <c r="AH409" s="33"/>
      <c r="AI409" s="245"/>
      <c r="AJ409" s="125"/>
      <c r="AK409" s="92"/>
      <c r="AL409" s="126"/>
      <c r="AM409" s="91"/>
      <c r="AN409" s="91"/>
      <c r="AO409" s="197">
        <f t="shared" si="27"/>
        <v>0</v>
      </c>
      <c r="AP409" s="126"/>
      <c r="AQ409" s="217"/>
      <c r="AR409" s="201"/>
      <c r="AS409" s="266"/>
      <c r="AT409" s="94"/>
      <c r="AU409" s="84"/>
      <c r="AV409" s="80"/>
      <c r="AW409" s="81"/>
      <c r="AX409" s="77"/>
      <c r="AY409" s="107"/>
      <c r="AZ409" s="220">
        <f t="shared" si="24"/>
        <v>0</v>
      </c>
      <c r="BA409" s="220">
        <f t="shared" si="25"/>
        <v>0</v>
      </c>
    </row>
    <row r="410" spans="1:53" ht="50.1" customHeight="1" x14ac:dyDescent="0.25">
      <c r="A410" s="17">
        <f t="shared" si="26"/>
        <v>396</v>
      </c>
      <c r="B410" s="229"/>
      <c r="C410" s="222"/>
      <c r="D410" s="112"/>
      <c r="E410" s="128"/>
      <c r="F410" s="183"/>
      <c r="G410" s="130"/>
      <c r="H410" s="131"/>
      <c r="I410" s="132"/>
      <c r="J410" s="189"/>
      <c r="K410" s="133"/>
      <c r="L410" s="134"/>
      <c r="M410" s="334"/>
      <c r="N410" s="343"/>
      <c r="O410" s="193"/>
      <c r="P410" s="191"/>
      <c r="Q410" s="193"/>
      <c r="R410" s="191"/>
      <c r="S410" s="296"/>
      <c r="T410" s="302"/>
      <c r="U410" s="306"/>
      <c r="V410" s="308"/>
      <c r="W410" s="249"/>
      <c r="X410" s="344"/>
      <c r="Y410" s="337"/>
      <c r="Z410" s="33"/>
      <c r="AA410" s="83"/>
      <c r="AB410" s="33"/>
      <c r="AC410" s="83"/>
      <c r="AD410" s="33"/>
      <c r="AE410" s="83"/>
      <c r="AF410" s="33"/>
      <c r="AG410" s="244"/>
      <c r="AH410" s="83"/>
      <c r="AI410" s="246"/>
      <c r="AJ410" s="102"/>
      <c r="AK410" s="92"/>
      <c r="AL410" s="91"/>
      <c r="AM410" s="92"/>
      <c r="AN410" s="351"/>
      <c r="AO410" s="197">
        <f t="shared" si="27"/>
        <v>0</v>
      </c>
      <c r="AP410" s="91"/>
      <c r="AQ410" s="217"/>
      <c r="AR410" s="196"/>
      <c r="AS410" s="265"/>
      <c r="AT410" s="94"/>
      <c r="AU410" s="84"/>
      <c r="AV410" s="136"/>
      <c r="AW410" s="81"/>
      <c r="AX410" s="137"/>
      <c r="AY410" s="138"/>
      <c r="AZ410" s="220">
        <f t="shared" si="24"/>
        <v>0</v>
      </c>
      <c r="BA410" s="220">
        <f t="shared" si="25"/>
        <v>0</v>
      </c>
    </row>
    <row r="411" spans="1:53" ht="50.1" customHeight="1" x14ac:dyDescent="0.25">
      <c r="A411" s="17">
        <f t="shared" si="26"/>
        <v>397</v>
      </c>
      <c r="B411" s="228"/>
      <c r="C411" s="221"/>
      <c r="D411" s="88"/>
      <c r="E411" s="100"/>
      <c r="F411" s="95"/>
      <c r="G411" s="114"/>
      <c r="H411" s="96"/>
      <c r="I411" s="97"/>
      <c r="J411" s="98"/>
      <c r="K411" s="101"/>
      <c r="L411" s="124"/>
      <c r="M411" s="333"/>
      <c r="N411" s="341"/>
      <c r="O411" s="190"/>
      <c r="P411" s="191"/>
      <c r="Q411" s="190"/>
      <c r="R411" s="191"/>
      <c r="S411" s="294"/>
      <c r="T411" s="300"/>
      <c r="U411" s="306"/>
      <c r="V411" s="308"/>
      <c r="W411" s="248"/>
      <c r="X411" s="342"/>
      <c r="Y411" s="337"/>
      <c r="Z411" s="123"/>
      <c r="AA411" s="83"/>
      <c r="AB411" s="123"/>
      <c r="AC411" s="83"/>
      <c r="AD411" s="123"/>
      <c r="AE411" s="83"/>
      <c r="AF411" s="123"/>
      <c r="AG411" s="243"/>
      <c r="AH411" s="33"/>
      <c r="AI411" s="245"/>
      <c r="AJ411" s="125"/>
      <c r="AK411" s="92"/>
      <c r="AL411" s="126"/>
      <c r="AM411" s="91"/>
      <c r="AN411" s="91"/>
      <c r="AO411" s="197">
        <f t="shared" si="27"/>
        <v>0</v>
      </c>
      <c r="AP411" s="126"/>
      <c r="AQ411" s="217"/>
      <c r="AR411" s="201"/>
      <c r="AS411" s="266"/>
      <c r="AT411" s="94"/>
      <c r="AU411" s="84"/>
      <c r="AV411" s="80"/>
      <c r="AW411" s="81"/>
      <c r="AX411" s="77"/>
      <c r="AY411" s="107"/>
      <c r="AZ411" s="220">
        <f t="shared" si="24"/>
        <v>0</v>
      </c>
      <c r="BA411" s="220">
        <f t="shared" si="25"/>
        <v>0</v>
      </c>
    </row>
    <row r="412" spans="1:53" ht="50.1" customHeight="1" x14ac:dyDescent="0.25">
      <c r="A412" s="17">
        <f t="shared" si="26"/>
        <v>398</v>
      </c>
      <c r="B412" s="229"/>
      <c r="C412" s="222"/>
      <c r="D412" s="112"/>
      <c r="E412" s="128"/>
      <c r="F412" s="183"/>
      <c r="G412" s="130"/>
      <c r="H412" s="131"/>
      <c r="I412" s="132"/>
      <c r="J412" s="189"/>
      <c r="K412" s="133"/>
      <c r="L412" s="134"/>
      <c r="M412" s="334"/>
      <c r="N412" s="343"/>
      <c r="O412" s="193"/>
      <c r="P412" s="191"/>
      <c r="Q412" s="193"/>
      <c r="R412" s="191"/>
      <c r="S412" s="296"/>
      <c r="T412" s="302"/>
      <c r="U412" s="306"/>
      <c r="V412" s="308"/>
      <c r="W412" s="249"/>
      <c r="X412" s="344"/>
      <c r="Y412" s="337"/>
      <c r="Z412" s="33"/>
      <c r="AA412" s="83"/>
      <c r="AB412" s="33"/>
      <c r="AC412" s="83"/>
      <c r="AD412" s="33"/>
      <c r="AE412" s="83"/>
      <c r="AF412" s="33"/>
      <c r="AG412" s="244"/>
      <c r="AH412" s="83"/>
      <c r="AI412" s="246"/>
      <c r="AJ412" s="102"/>
      <c r="AK412" s="92"/>
      <c r="AL412" s="91"/>
      <c r="AM412" s="92"/>
      <c r="AN412" s="351"/>
      <c r="AO412" s="197">
        <f t="shared" si="27"/>
        <v>0</v>
      </c>
      <c r="AP412" s="91"/>
      <c r="AQ412" s="217"/>
      <c r="AR412" s="196"/>
      <c r="AS412" s="265"/>
      <c r="AT412" s="94"/>
      <c r="AU412" s="84"/>
      <c r="AV412" s="136"/>
      <c r="AW412" s="81"/>
      <c r="AX412" s="137"/>
      <c r="AY412" s="138"/>
      <c r="AZ412" s="220">
        <f t="shared" si="24"/>
        <v>0</v>
      </c>
      <c r="BA412" s="220">
        <f t="shared" si="25"/>
        <v>0</v>
      </c>
    </row>
    <row r="413" spans="1:53" ht="50.1" customHeight="1" x14ac:dyDescent="0.25">
      <c r="A413" s="17">
        <f t="shared" si="26"/>
        <v>399</v>
      </c>
      <c r="B413" s="228"/>
      <c r="C413" s="221"/>
      <c r="D413" s="88"/>
      <c r="E413" s="100"/>
      <c r="F413" s="95"/>
      <c r="G413" s="114"/>
      <c r="H413" s="96"/>
      <c r="I413" s="97"/>
      <c r="J413" s="98"/>
      <c r="K413" s="101"/>
      <c r="L413" s="124"/>
      <c r="M413" s="333"/>
      <c r="N413" s="341"/>
      <c r="O413" s="190"/>
      <c r="P413" s="191"/>
      <c r="Q413" s="190"/>
      <c r="R413" s="191"/>
      <c r="S413" s="294"/>
      <c r="T413" s="300"/>
      <c r="U413" s="306"/>
      <c r="V413" s="308"/>
      <c r="W413" s="248"/>
      <c r="X413" s="342"/>
      <c r="Y413" s="337"/>
      <c r="Z413" s="123"/>
      <c r="AA413" s="83"/>
      <c r="AB413" s="123"/>
      <c r="AC413" s="83"/>
      <c r="AD413" s="123"/>
      <c r="AE413" s="83"/>
      <c r="AF413" s="123"/>
      <c r="AG413" s="243"/>
      <c r="AH413" s="33"/>
      <c r="AI413" s="245"/>
      <c r="AJ413" s="125"/>
      <c r="AK413" s="92"/>
      <c r="AL413" s="126"/>
      <c r="AM413" s="91"/>
      <c r="AN413" s="91"/>
      <c r="AO413" s="197">
        <f t="shared" si="27"/>
        <v>0</v>
      </c>
      <c r="AP413" s="126"/>
      <c r="AQ413" s="217"/>
      <c r="AR413" s="201"/>
      <c r="AS413" s="266"/>
      <c r="AT413" s="94"/>
      <c r="AU413" s="84"/>
      <c r="AV413" s="80"/>
      <c r="AW413" s="81"/>
      <c r="AX413" s="77"/>
      <c r="AY413" s="107"/>
      <c r="AZ413" s="220">
        <f t="shared" si="24"/>
        <v>0</v>
      </c>
      <c r="BA413" s="220">
        <f t="shared" si="25"/>
        <v>0</v>
      </c>
    </row>
    <row r="414" spans="1:53" ht="50.1" customHeight="1" x14ac:dyDescent="0.25">
      <c r="A414" s="17">
        <f t="shared" si="26"/>
        <v>400</v>
      </c>
      <c r="B414" s="229"/>
      <c r="C414" s="222"/>
      <c r="D414" s="112"/>
      <c r="E414" s="128"/>
      <c r="F414" s="183"/>
      <c r="G414" s="130"/>
      <c r="H414" s="131"/>
      <c r="I414" s="132"/>
      <c r="J414" s="189"/>
      <c r="K414" s="133"/>
      <c r="L414" s="134"/>
      <c r="M414" s="334"/>
      <c r="N414" s="343"/>
      <c r="O414" s="193"/>
      <c r="P414" s="191"/>
      <c r="Q414" s="193"/>
      <c r="R414" s="191"/>
      <c r="S414" s="296"/>
      <c r="T414" s="302"/>
      <c r="U414" s="306"/>
      <c r="V414" s="308"/>
      <c r="W414" s="249"/>
      <c r="X414" s="345"/>
      <c r="Y414" s="337"/>
      <c r="Z414" s="33"/>
      <c r="AA414" s="83"/>
      <c r="AB414" s="33"/>
      <c r="AC414" s="83"/>
      <c r="AD414" s="33"/>
      <c r="AE414" s="83"/>
      <c r="AF414" s="33"/>
      <c r="AG414" s="244"/>
      <c r="AH414" s="83"/>
      <c r="AI414" s="246"/>
      <c r="AJ414" s="102"/>
      <c r="AK414" s="92"/>
      <c r="AL414" s="91"/>
      <c r="AM414" s="92"/>
      <c r="AN414" s="351"/>
      <c r="AO414" s="197">
        <f t="shared" si="27"/>
        <v>0</v>
      </c>
      <c r="AP414" s="91"/>
      <c r="AQ414" s="217"/>
      <c r="AR414" s="196"/>
      <c r="AS414" s="265"/>
      <c r="AT414" s="94"/>
      <c r="AU414" s="84"/>
      <c r="AV414" s="136"/>
      <c r="AW414" s="81"/>
      <c r="AX414" s="137"/>
      <c r="AY414" s="138"/>
      <c r="AZ414" s="220">
        <f t="shared" si="24"/>
        <v>0</v>
      </c>
      <c r="BA414" s="220">
        <f t="shared" si="25"/>
        <v>0</v>
      </c>
    </row>
    <row r="415" spans="1:53" ht="50.1" customHeight="1" x14ac:dyDescent="0.25">
      <c r="A415" s="17">
        <f t="shared" si="26"/>
        <v>401</v>
      </c>
      <c r="B415" s="228"/>
      <c r="C415" s="221"/>
      <c r="D415" s="88"/>
      <c r="E415" s="100"/>
      <c r="F415" s="95"/>
      <c r="G415" s="114"/>
      <c r="H415" s="96"/>
      <c r="I415" s="97"/>
      <c r="J415" s="98"/>
      <c r="K415" s="101"/>
      <c r="L415" s="124"/>
      <c r="M415" s="333"/>
      <c r="N415" s="341"/>
      <c r="O415" s="190"/>
      <c r="P415" s="191"/>
      <c r="Q415" s="190"/>
      <c r="R415" s="191"/>
      <c r="S415" s="294"/>
      <c r="T415" s="300"/>
      <c r="U415" s="306"/>
      <c r="V415" s="308"/>
      <c r="W415" s="248"/>
      <c r="X415" s="345"/>
      <c r="Y415" s="337"/>
      <c r="Z415" s="123"/>
      <c r="AA415" s="83"/>
      <c r="AB415" s="123"/>
      <c r="AC415" s="83"/>
      <c r="AD415" s="123"/>
      <c r="AE415" s="83"/>
      <c r="AF415" s="123"/>
      <c r="AG415" s="243"/>
      <c r="AH415" s="123"/>
      <c r="AI415" s="245"/>
      <c r="AJ415" s="125"/>
      <c r="AK415" s="92"/>
      <c r="AL415" s="126"/>
      <c r="AM415" s="91"/>
      <c r="AN415" s="91"/>
      <c r="AO415" s="197">
        <f t="shared" si="27"/>
        <v>0</v>
      </c>
      <c r="AP415" s="126"/>
      <c r="AQ415" s="217"/>
      <c r="AR415" s="201"/>
      <c r="AS415" s="266"/>
      <c r="AT415" s="94"/>
      <c r="AU415" s="84"/>
      <c r="AV415" s="80"/>
      <c r="AW415" s="81"/>
      <c r="AX415" s="77"/>
      <c r="AY415" s="107"/>
      <c r="AZ415" s="220">
        <f t="shared" si="24"/>
        <v>0</v>
      </c>
      <c r="BA415" s="220">
        <f t="shared" si="25"/>
        <v>0</v>
      </c>
    </row>
    <row r="416" spans="1:53" ht="50.1" customHeight="1" x14ac:dyDescent="0.25">
      <c r="A416" s="17">
        <f t="shared" si="26"/>
        <v>402</v>
      </c>
      <c r="B416" s="229"/>
      <c r="C416" s="222"/>
      <c r="D416" s="112"/>
      <c r="E416" s="128"/>
      <c r="F416" s="183"/>
      <c r="G416" s="130"/>
      <c r="H416" s="131"/>
      <c r="I416" s="132"/>
      <c r="J416" s="189"/>
      <c r="K416" s="133"/>
      <c r="L416" s="134"/>
      <c r="M416" s="334"/>
      <c r="N416" s="343"/>
      <c r="O416" s="193"/>
      <c r="P416" s="191"/>
      <c r="Q416" s="193"/>
      <c r="R416" s="191"/>
      <c r="S416" s="296"/>
      <c r="T416" s="302"/>
      <c r="U416" s="306"/>
      <c r="V416" s="308"/>
      <c r="W416" s="249"/>
      <c r="X416" s="345"/>
      <c r="Y416" s="337"/>
      <c r="Z416" s="33"/>
      <c r="AA416" s="83"/>
      <c r="AB416" s="33"/>
      <c r="AC416" s="83"/>
      <c r="AD416" s="33"/>
      <c r="AE416" s="83"/>
      <c r="AF416" s="33"/>
      <c r="AG416" s="244"/>
      <c r="AH416" s="83"/>
      <c r="AI416" s="246"/>
      <c r="AJ416" s="102"/>
      <c r="AK416" s="92"/>
      <c r="AL416" s="91"/>
      <c r="AM416" s="92"/>
      <c r="AN416" s="351"/>
      <c r="AO416" s="197">
        <f t="shared" si="27"/>
        <v>0</v>
      </c>
      <c r="AP416" s="91"/>
      <c r="AQ416" s="217"/>
      <c r="AR416" s="196"/>
      <c r="AS416" s="265"/>
      <c r="AT416" s="94"/>
      <c r="AU416" s="84"/>
      <c r="AV416" s="136"/>
      <c r="AW416" s="81"/>
      <c r="AX416" s="137"/>
      <c r="AY416" s="138"/>
      <c r="AZ416" s="220">
        <f t="shared" si="24"/>
        <v>0</v>
      </c>
      <c r="BA416" s="220">
        <f t="shared" si="25"/>
        <v>0</v>
      </c>
    </row>
    <row r="417" spans="1:53" ht="50.1" customHeight="1" x14ac:dyDescent="0.25">
      <c r="A417" s="17">
        <f t="shared" si="26"/>
        <v>403</v>
      </c>
      <c r="B417" s="228"/>
      <c r="C417" s="221"/>
      <c r="D417" s="88"/>
      <c r="E417" s="100"/>
      <c r="F417" s="95"/>
      <c r="G417" s="114"/>
      <c r="H417" s="96"/>
      <c r="I417" s="97"/>
      <c r="J417" s="98"/>
      <c r="K417" s="101"/>
      <c r="L417" s="124"/>
      <c r="M417" s="333"/>
      <c r="N417" s="341"/>
      <c r="O417" s="190"/>
      <c r="P417" s="191"/>
      <c r="Q417" s="190"/>
      <c r="R417" s="191"/>
      <c r="S417" s="294"/>
      <c r="T417" s="300"/>
      <c r="U417" s="306"/>
      <c r="V417" s="308"/>
      <c r="W417" s="248"/>
      <c r="X417" s="342"/>
      <c r="Y417" s="337"/>
      <c r="Z417" s="123"/>
      <c r="AA417" s="83"/>
      <c r="AB417" s="123"/>
      <c r="AC417" s="83"/>
      <c r="AD417" s="123"/>
      <c r="AE417" s="83"/>
      <c r="AF417" s="123"/>
      <c r="AG417" s="243"/>
      <c r="AH417" s="33"/>
      <c r="AI417" s="245"/>
      <c r="AJ417" s="125"/>
      <c r="AK417" s="92"/>
      <c r="AL417" s="126"/>
      <c r="AM417" s="91"/>
      <c r="AN417" s="91"/>
      <c r="AO417" s="197">
        <f t="shared" si="27"/>
        <v>0</v>
      </c>
      <c r="AP417" s="126"/>
      <c r="AQ417" s="217"/>
      <c r="AR417" s="201"/>
      <c r="AS417" s="266"/>
      <c r="AT417" s="94"/>
      <c r="AU417" s="84"/>
      <c r="AV417" s="80"/>
      <c r="AW417" s="81"/>
      <c r="AX417" s="77"/>
      <c r="AY417" s="107"/>
      <c r="AZ417" s="220">
        <f t="shared" si="24"/>
        <v>0</v>
      </c>
      <c r="BA417" s="220">
        <f t="shared" si="25"/>
        <v>0</v>
      </c>
    </row>
    <row r="418" spans="1:53" ht="50.1" customHeight="1" x14ac:dyDescent="0.25">
      <c r="A418" s="17">
        <f t="shared" si="26"/>
        <v>404</v>
      </c>
      <c r="B418" s="229"/>
      <c r="C418" s="222"/>
      <c r="D418" s="112"/>
      <c r="E418" s="128"/>
      <c r="F418" s="183"/>
      <c r="G418" s="130"/>
      <c r="H418" s="131"/>
      <c r="I418" s="132"/>
      <c r="J418" s="189"/>
      <c r="K418" s="133"/>
      <c r="L418" s="134"/>
      <c r="M418" s="334"/>
      <c r="N418" s="343"/>
      <c r="O418" s="193"/>
      <c r="P418" s="191"/>
      <c r="Q418" s="193"/>
      <c r="R418" s="191"/>
      <c r="S418" s="296"/>
      <c r="T418" s="302"/>
      <c r="U418" s="306"/>
      <c r="V418" s="308"/>
      <c r="W418" s="249"/>
      <c r="X418" s="344"/>
      <c r="Y418" s="337"/>
      <c r="Z418" s="33"/>
      <c r="AA418" s="83"/>
      <c r="AB418" s="33"/>
      <c r="AC418" s="83"/>
      <c r="AD418" s="33"/>
      <c r="AE418" s="83"/>
      <c r="AF418" s="33"/>
      <c r="AG418" s="244"/>
      <c r="AH418" s="83"/>
      <c r="AI418" s="246"/>
      <c r="AJ418" s="102"/>
      <c r="AK418" s="92"/>
      <c r="AL418" s="91"/>
      <c r="AM418" s="92"/>
      <c r="AN418" s="351"/>
      <c r="AO418" s="197">
        <f t="shared" si="27"/>
        <v>0</v>
      </c>
      <c r="AP418" s="91"/>
      <c r="AQ418" s="217"/>
      <c r="AR418" s="196"/>
      <c r="AS418" s="265"/>
      <c r="AT418" s="94"/>
      <c r="AU418" s="84"/>
      <c r="AV418" s="136"/>
      <c r="AW418" s="81"/>
      <c r="AX418" s="137"/>
      <c r="AY418" s="138"/>
      <c r="AZ418" s="220">
        <f t="shared" si="24"/>
        <v>0</v>
      </c>
      <c r="BA418" s="220">
        <f t="shared" si="25"/>
        <v>0</v>
      </c>
    </row>
    <row r="419" spans="1:53" ht="50.1" customHeight="1" x14ac:dyDescent="0.25">
      <c r="A419" s="17">
        <f t="shared" si="26"/>
        <v>405</v>
      </c>
      <c r="B419" s="228"/>
      <c r="C419" s="221"/>
      <c r="D419" s="88"/>
      <c r="E419" s="100"/>
      <c r="F419" s="95"/>
      <c r="G419" s="114"/>
      <c r="H419" s="96"/>
      <c r="I419" s="97"/>
      <c r="J419" s="98"/>
      <c r="K419" s="101"/>
      <c r="L419" s="124"/>
      <c r="M419" s="333"/>
      <c r="N419" s="341"/>
      <c r="O419" s="190"/>
      <c r="P419" s="191"/>
      <c r="Q419" s="190"/>
      <c r="R419" s="191"/>
      <c r="S419" s="294"/>
      <c r="T419" s="300"/>
      <c r="U419" s="306"/>
      <c r="V419" s="308"/>
      <c r="W419" s="248"/>
      <c r="X419" s="342"/>
      <c r="Y419" s="337"/>
      <c r="Z419" s="123"/>
      <c r="AA419" s="83"/>
      <c r="AB419" s="123"/>
      <c r="AC419" s="83"/>
      <c r="AD419" s="123"/>
      <c r="AE419" s="83"/>
      <c r="AF419" s="123"/>
      <c r="AG419" s="243"/>
      <c r="AH419" s="33"/>
      <c r="AI419" s="245"/>
      <c r="AJ419" s="125"/>
      <c r="AK419" s="92"/>
      <c r="AL419" s="126"/>
      <c r="AM419" s="91"/>
      <c r="AN419" s="91"/>
      <c r="AO419" s="197">
        <f t="shared" si="27"/>
        <v>0</v>
      </c>
      <c r="AP419" s="126"/>
      <c r="AQ419" s="217"/>
      <c r="AR419" s="201"/>
      <c r="AS419" s="266"/>
      <c r="AT419" s="94"/>
      <c r="AU419" s="84"/>
      <c r="AV419" s="80"/>
      <c r="AW419" s="81"/>
      <c r="AX419" s="77"/>
      <c r="AY419" s="107"/>
      <c r="AZ419" s="220">
        <f t="shared" si="24"/>
        <v>0</v>
      </c>
      <c r="BA419" s="220">
        <f t="shared" si="25"/>
        <v>0</v>
      </c>
    </row>
    <row r="420" spans="1:53" ht="50.1" customHeight="1" x14ac:dyDescent="0.25">
      <c r="A420" s="17">
        <f t="shared" si="26"/>
        <v>406</v>
      </c>
      <c r="B420" s="229"/>
      <c r="C420" s="222"/>
      <c r="D420" s="112"/>
      <c r="E420" s="128"/>
      <c r="F420" s="183"/>
      <c r="G420" s="130"/>
      <c r="H420" s="131"/>
      <c r="I420" s="132"/>
      <c r="J420" s="189"/>
      <c r="K420" s="133"/>
      <c r="L420" s="134"/>
      <c r="M420" s="334"/>
      <c r="N420" s="343"/>
      <c r="O420" s="193"/>
      <c r="P420" s="191"/>
      <c r="Q420" s="193"/>
      <c r="R420" s="191"/>
      <c r="S420" s="296"/>
      <c r="T420" s="302"/>
      <c r="U420" s="306"/>
      <c r="V420" s="308"/>
      <c r="W420" s="249"/>
      <c r="X420" s="344"/>
      <c r="Y420" s="337"/>
      <c r="Z420" s="33"/>
      <c r="AA420" s="83"/>
      <c r="AB420" s="33"/>
      <c r="AC420" s="83"/>
      <c r="AD420" s="33"/>
      <c r="AE420" s="83"/>
      <c r="AF420" s="33"/>
      <c r="AG420" s="244"/>
      <c r="AH420" s="83"/>
      <c r="AI420" s="246"/>
      <c r="AJ420" s="102"/>
      <c r="AK420" s="92"/>
      <c r="AL420" s="91"/>
      <c r="AM420" s="92"/>
      <c r="AN420" s="351"/>
      <c r="AO420" s="197">
        <f t="shared" si="27"/>
        <v>0</v>
      </c>
      <c r="AP420" s="91"/>
      <c r="AQ420" s="217"/>
      <c r="AR420" s="196"/>
      <c r="AS420" s="265"/>
      <c r="AT420" s="94"/>
      <c r="AU420" s="84"/>
      <c r="AV420" s="136"/>
      <c r="AW420" s="81"/>
      <c r="AX420" s="137"/>
      <c r="AY420" s="138"/>
      <c r="AZ420" s="220">
        <f t="shared" si="24"/>
        <v>0</v>
      </c>
      <c r="BA420" s="220">
        <f t="shared" si="25"/>
        <v>0</v>
      </c>
    </row>
    <row r="421" spans="1:53" ht="50.1" customHeight="1" x14ac:dyDescent="0.25">
      <c r="A421" s="17">
        <f t="shared" si="26"/>
        <v>407</v>
      </c>
      <c r="B421" s="228"/>
      <c r="C421" s="221"/>
      <c r="D421" s="88"/>
      <c r="E421" s="100"/>
      <c r="F421" s="95"/>
      <c r="G421" s="114"/>
      <c r="H421" s="96"/>
      <c r="I421" s="97"/>
      <c r="J421" s="98"/>
      <c r="K421" s="101"/>
      <c r="L421" s="124"/>
      <c r="M421" s="333"/>
      <c r="N421" s="341"/>
      <c r="O421" s="190"/>
      <c r="P421" s="191"/>
      <c r="Q421" s="190"/>
      <c r="R421" s="191"/>
      <c r="S421" s="294"/>
      <c r="T421" s="300"/>
      <c r="U421" s="306"/>
      <c r="V421" s="308"/>
      <c r="W421" s="248"/>
      <c r="X421" s="342"/>
      <c r="Y421" s="337"/>
      <c r="Z421" s="123"/>
      <c r="AA421" s="83"/>
      <c r="AB421" s="123"/>
      <c r="AC421" s="83"/>
      <c r="AD421" s="123"/>
      <c r="AE421" s="83"/>
      <c r="AF421" s="123"/>
      <c r="AG421" s="243"/>
      <c r="AH421" s="33"/>
      <c r="AI421" s="245"/>
      <c r="AJ421" s="125"/>
      <c r="AK421" s="92"/>
      <c r="AL421" s="126"/>
      <c r="AM421" s="91"/>
      <c r="AN421" s="91"/>
      <c r="AO421" s="197">
        <f t="shared" si="27"/>
        <v>0</v>
      </c>
      <c r="AP421" s="126"/>
      <c r="AQ421" s="217"/>
      <c r="AR421" s="201"/>
      <c r="AS421" s="266"/>
      <c r="AT421" s="94"/>
      <c r="AU421" s="84"/>
      <c r="AV421" s="80"/>
      <c r="AW421" s="81"/>
      <c r="AX421" s="77"/>
      <c r="AY421" s="107"/>
      <c r="AZ421" s="220">
        <f t="shared" si="24"/>
        <v>0</v>
      </c>
      <c r="BA421" s="220">
        <f t="shared" si="25"/>
        <v>0</v>
      </c>
    </row>
    <row r="422" spans="1:53" ht="50.1" customHeight="1" x14ac:dyDescent="0.25">
      <c r="A422" s="17">
        <f t="shared" si="26"/>
        <v>408</v>
      </c>
      <c r="B422" s="229"/>
      <c r="C422" s="222"/>
      <c r="D422" s="112"/>
      <c r="E422" s="128"/>
      <c r="F422" s="183"/>
      <c r="G422" s="130"/>
      <c r="H422" s="131"/>
      <c r="I422" s="132"/>
      <c r="J422" s="189"/>
      <c r="K422" s="133"/>
      <c r="L422" s="134"/>
      <c r="M422" s="334"/>
      <c r="N422" s="343"/>
      <c r="O422" s="193"/>
      <c r="P422" s="191"/>
      <c r="Q422" s="193"/>
      <c r="R422" s="191"/>
      <c r="S422" s="296"/>
      <c r="T422" s="302"/>
      <c r="U422" s="306"/>
      <c r="V422" s="308"/>
      <c r="W422" s="249"/>
      <c r="X422" s="344"/>
      <c r="Y422" s="337"/>
      <c r="Z422" s="33"/>
      <c r="AA422" s="83"/>
      <c r="AB422" s="33"/>
      <c r="AC422" s="83"/>
      <c r="AD422" s="33"/>
      <c r="AE422" s="83"/>
      <c r="AF422" s="33"/>
      <c r="AG422" s="244"/>
      <c r="AH422" s="83"/>
      <c r="AI422" s="246"/>
      <c r="AJ422" s="102"/>
      <c r="AK422" s="92"/>
      <c r="AL422" s="91"/>
      <c r="AM422" s="92"/>
      <c r="AN422" s="351"/>
      <c r="AO422" s="197">
        <f t="shared" si="27"/>
        <v>0</v>
      </c>
      <c r="AP422" s="91"/>
      <c r="AQ422" s="217"/>
      <c r="AR422" s="196"/>
      <c r="AS422" s="265"/>
      <c r="AT422" s="94"/>
      <c r="AU422" s="84"/>
      <c r="AV422" s="136"/>
      <c r="AW422" s="81"/>
      <c r="AX422" s="137"/>
      <c r="AY422" s="138"/>
      <c r="AZ422" s="220">
        <f t="shared" si="24"/>
        <v>0</v>
      </c>
      <c r="BA422" s="220">
        <f t="shared" si="25"/>
        <v>0</v>
      </c>
    </row>
    <row r="423" spans="1:53" ht="50.1" customHeight="1" x14ac:dyDescent="0.25">
      <c r="A423" s="17">
        <f t="shared" si="26"/>
        <v>409</v>
      </c>
      <c r="B423" s="228"/>
      <c r="C423" s="221"/>
      <c r="D423" s="88"/>
      <c r="E423" s="100"/>
      <c r="F423" s="95"/>
      <c r="G423" s="114"/>
      <c r="H423" s="96"/>
      <c r="I423" s="97"/>
      <c r="J423" s="98"/>
      <c r="K423" s="101"/>
      <c r="L423" s="124"/>
      <c r="M423" s="333"/>
      <c r="N423" s="341"/>
      <c r="O423" s="190"/>
      <c r="P423" s="191"/>
      <c r="Q423" s="190"/>
      <c r="R423" s="191"/>
      <c r="S423" s="294"/>
      <c r="T423" s="300"/>
      <c r="U423" s="306"/>
      <c r="V423" s="308"/>
      <c r="W423" s="248"/>
      <c r="X423" s="342"/>
      <c r="Y423" s="337"/>
      <c r="Z423" s="123"/>
      <c r="AA423" s="83"/>
      <c r="AB423" s="123"/>
      <c r="AC423" s="83"/>
      <c r="AD423" s="123"/>
      <c r="AE423" s="83"/>
      <c r="AF423" s="123"/>
      <c r="AG423" s="243"/>
      <c r="AH423" s="33"/>
      <c r="AI423" s="245"/>
      <c r="AJ423" s="125"/>
      <c r="AK423" s="92"/>
      <c r="AL423" s="126"/>
      <c r="AM423" s="91"/>
      <c r="AN423" s="91"/>
      <c r="AO423" s="197">
        <f t="shared" si="27"/>
        <v>0</v>
      </c>
      <c r="AP423" s="126"/>
      <c r="AQ423" s="217"/>
      <c r="AR423" s="201"/>
      <c r="AS423" s="266"/>
      <c r="AT423" s="94"/>
      <c r="AU423" s="84"/>
      <c r="AV423" s="80"/>
      <c r="AW423" s="81"/>
      <c r="AX423" s="77"/>
      <c r="AY423" s="107"/>
      <c r="AZ423" s="220">
        <f t="shared" si="24"/>
        <v>0</v>
      </c>
      <c r="BA423" s="220">
        <f t="shared" si="25"/>
        <v>0</v>
      </c>
    </row>
    <row r="424" spans="1:53" ht="50.1" customHeight="1" x14ac:dyDescent="0.25">
      <c r="A424" s="17">
        <f t="shared" si="26"/>
        <v>410</v>
      </c>
      <c r="B424" s="229"/>
      <c r="C424" s="222"/>
      <c r="D424" s="112"/>
      <c r="E424" s="128"/>
      <c r="F424" s="183"/>
      <c r="G424" s="130"/>
      <c r="H424" s="131"/>
      <c r="I424" s="132"/>
      <c r="J424" s="189"/>
      <c r="K424" s="133"/>
      <c r="L424" s="134"/>
      <c r="M424" s="334"/>
      <c r="N424" s="343"/>
      <c r="O424" s="193"/>
      <c r="P424" s="191"/>
      <c r="Q424" s="193"/>
      <c r="R424" s="191"/>
      <c r="S424" s="296"/>
      <c r="T424" s="302"/>
      <c r="U424" s="306"/>
      <c r="V424" s="308"/>
      <c r="W424" s="249"/>
      <c r="X424" s="344"/>
      <c r="Y424" s="337"/>
      <c r="Z424" s="33"/>
      <c r="AA424" s="83"/>
      <c r="AB424" s="33"/>
      <c r="AC424" s="83"/>
      <c r="AD424" s="33"/>
      <c r="AE424" s="83"/>
      <c r="AF424" s="33"/>
      <c r="AG424" s="244"/>
      <c r="AH424" s="83"/>
      <c r="AI424" s="246"/>
      <c r="AJ424" s="195"/>
      <c r="AK424" s="92"/>
      <c r="AL424" s="91"/>
      <c r="AM424" s="92"/>
      <c r="AN424" s="351"/>
      <c r="AO424" s="197">
        <f t="shared" si="27"/>
        <v>0</v>
      </c>
      <c r="AP424" s="91"/>
      <c r="AQ424" s="217"/>
      <c r="AR424" s="196"/>
      <c r="AS424" s="265"/>
      <c r="AT424" s="94"/>
      <c r="AU424" s="84"/>
      <c r="AV424" s="136"/>
      <c r="AW424" s="81"/>
      <c r="AX424" s="137"/>
      <c r="AY424" s="138"/>
      <c r="AZ424" s="220">
        <f t="shared" si="24"/>
        <v>0</v>
      </c>
      <c r="BA424" s="220">
        <f t="shared" si="25"/>
        <v>0</v>
      </c>
    </row>
    <row r="425" spans="1:53" ht="50.1" customHeight="1" x14ac:dyDescent="0.25">
      <c r="A425" s="17">
        <f t="shared" si="26"/>
        <v>411</v>
      </c>
      <c r="B425" s="228"/>
      <c r="C425" s="221"/>
      <c r="D425" s="88"/>
      <c r="E425" s="100"/>
      <c r="F425" s="95"/>
      <c r="G425" s="114"/>
      <c r="H425" s="96"/>
      <c r="I425" s="97"/>
      <c r="J425" s="98"/>
      <c r="K425" s="101"/>
      <c r="L425" s="124"/>
      <c r="M425" s="333"/>
      <c r="N425" s="341"/>
      <c r="O425" s="190"/>
      <c r="P425" s="191"/>
      <c r="Q425" s="190"/>
      <c r="R425" s="191"/>
      <c r="S425" s="294"/>
      <c r="T425" s="300"/>
      <c r="U425" s="306"/>
      <c r="V425" s="308"/>
      <c r="W425" s="248"/>
      <c r="X425" s="342"/>
      <c r="Y425" s="337"/>
      <c r="Z425" s="123"/>
      <c r="AA425" s="83"/>
      <c r="AB425" s="123"/>
      <c r="AC425" s="83"/>
      <c r="AD425" s="123"/>
      <c r="AE425" s="83"/>
      <c r="AF425" s="123"/>
      <c r="AG425" s="243"/>
      <c r="AH425" s="33"/>
      <c r="AI425" s="245"/>
      <c r="AJ425" s="125"/>
      <c r="AK425" s="92"/>
      <c r="AL425" s="126"/>
      <c r="AM425" s="91"/>
      <c r="AN425" s="91"/>
      <c r="AO425" s="197">
        <f t="shared" si="27"/>
        <v>0</v>
      </c>
      <c r="AP425" s="126"/>
      <c r="AQ425" s="217"/>
      <c r="AR425" s="201"/>
      <c r="AS425" s="266"/>
      <c r="AT425" s="94"/>
      <c r="AU425" s="84"/>
      <c r="AV425" s="80"/>
      <c r="AW425" s="81"/>
      <c r="AX425" s="77"/>
      <c r="AY425" s="107"/>
      <c r="AZ425" s="220">
        <f t="shared" si="24"/>
        <v>0</v>
      </c>
      <c r="BA425" s="220">
        <f t="shared" si="25"/>
        <v>0</v>
      </c>
    </row>
    <row r="426" spans="1:53" ht="50.1" customHeight="1" x14ac:dyDescent="0.25">
      <c r="A426" s="17">
        <f t="shared" si="26"/>
        <v>412</v>
      </c>
      <c r="B426" s="229"/>
      <c r="C426" s="222"/>
      <c r="D426" s="112"/>
      <c r="E426" s="128"/>
      <c r="F426" s="183"/>
      <c r="G426" s="130"/>
      <c r="H426" s="131"/>
      <c r="I426" s="132"/>
      <c r="J426" s="189"/>
      <c r="K426" s="133"/>
      <c r="L426" s="134"/>
      <c r="M426" s="334"/>
      <c r="N426" s="343"/>
      <c r="O426" s="193"/>
      <c r="P426" s="191"/>
      <c r="Q426" s="193"/>
      <c r="R426" s="191"/>
      <c r="S426" s="296"/>
      <c r="T426" s="302"/>
      <c r="U426" s="306"/>
      <c r="V426" s="308"/>
      <c r="W426" s="249"/>
      <c r="X426" s="344"/>
      <c r="Y426" s="337"/>
      <c r="Z426" s="33"/>
      <c r="AA426" s="83"/>
      <c r="AB426" s="33"/>
      <c r="AC426" s="83"/>
      <c r="AD426" s="33"/>
      <c r="AE426" s="83"/>
      <c r="AF426" s="33"/>
      <c r="AG426" s="244"/>
      <c r="AH426" s="83"/>
      <c r="AI426" s="246"/>
      <c r="AJ426" s="102"/>
      <c r="AK426" s="92"/>
      <c r="AL426" s="91"/>
      <c r="AM426" s="92"/>
      <c r="AN426" s="351"/>
      <c r="AO426" s="197">
        <f t="shared" si="27"/>
        <v>0</v>
      </c>
      <c r="AP426" s="91"/>
      <c r="AQ426" s="217"/>
      <c r="AR426" s="196"/>
      <c r="AS426" s="265"/>
      <c r="AT426" s="94"/>
      <c r="AU426" s="84"/>
      <c r="AV426" s="136"/>
      <c r="AW426" s="81"/>
      <c r="AX426" s="137"/>
      <c r="AY426" s="138"/>
      <c r="AZ426" s="220">
        <f t="shared" si="24"/>
        <v>0</v>
      </c>
      <c r="BA426" s="220">
        <f t="shared" si="25"/>
        <v>0</v>
      </c>
    </row>
    <row r="427" spans="1:53" ht="50.1" customHeight="1" x14ac:dyDescent="0.25">
      <c r="A427" s="17">
        <f t="shared" si="26"/>
        <v>413</v>
      </c>
      <c r="B427" s="228"/>
      <c r="C427" s="221"/>
      <c r="D427" s="88"/>
      <c r="E427" s="100"/>
      <c r="F427" s="95"/>
      <c r="G427" s="114"/>
      <c r="H427" s="96"/>
      <c r="I427" s="97"/>
      <c r="J427" s="98"/>
      <c r="K427" s="101"/>
      <c r="L427" s="124"/>
      <c r="M427" s="333"/>
      <c r="N427" s="341"/>
      <c r="O427" s="190"/>
      <c r="P427" s="191"/>
      <c r="Q427" s="190"/>
      <c r="R427" s="191"/>
      <c r="S427" s="294"/>
      <c r="T427" s="300"/>
      <c r="U427" s="306"/>
      <c r="V427" s="308"/>
      <c r="W427" s="248"/>
      <c r="X427" s="342"/>
      <c r="Y427" s="337"/>
      <c r="Z427" s="123"/>
      <c r="AA427" s="83"/>
      <c r="AB427" s="123"/>
      <c r="AC427" s="83"/>
      <c r="AD427" s="123"/>
      <c r="AE427" s="83"/>
      <c r="AF427" s="123"/>
      <c r="AG427" s="243"/>
      <c r="AH427" s="33"/>
      <c r="AI427" s="245"/>
      <c r="AJ427" s="125"/>
      <c r="AK427" s="92"/>
      <c r="AL427" s="126"/>
      <c r="AM427" s="91"/>
      <c r="AN427" s="91"/>
      <c r="AO427" s="197">
        <f t="shared" si="27"/>
        <v>0</v>
      </c>
      <c r="AP427" s="126"/>
      <c r="AQ427" s="217"/>
      <c r="AR427" s="201"/>
      <c r="AS427" s="266"/>
      <c r="AT427" s="94"/>
      <c r="AU427" s="84"/>
      <c r="AV427" s="80"/>
      <c r="AW427" s="81"/>
      <c r="AX427" s="77"/>
      <c r="AY427" s="107"/>
      <c r="AZ427" s="220">
        <f t="shared" si="24"/>
        <v>0</v>
      </c>
      <c r="BA427" s="220">
        <f t="shared" si="25"/>
        <v>0</v>
      </c>
    </row>
    <row r="428" spans="1:53" ht="50.1" customHeight="1" x14ac:dyDescent="0.25">
      <c r="A428" s="17">
        <f t="shared" si="26"/>
        <v>414</v>
      </c>
      <c r="B428" s="229"/>
      <c r="C428" s="222"/>
      <c r="D428" s="112"/>
      <c r="E428" s="128"/>
      <c r="F428" s="183"/>
      <c r="G428" s="130"/>
      <c r="H428" s="131"/>
      <c r="I428" s="132"/>
      <c r="J428" s="189"/>
      <c r="K428" s="133"/>
      <c r="L428" s="134"/>
      <c r="M428" s="334"/>
      <c r="N428" s="343"/>
      <c r="O428" s="193"/>
      <c r="P428" s="191"/>
      <c r="Q428" s="193"/>
      <c r="R428" s="191"/>
      <c r="S428" s="296"/>
      <c r="T428" s="302"/>
      <c r="U428" s="306"/>
      <c r="V428" s="308"/>
      <c r="W428" s="249"/>
      <c r="X428" s="344"/>
      <c r="Y428" s="337"/>
      <c r="Z428" s="33"/>
      <c r="AA428" s="83"/>
      <c r="AB428" s="33"/>
      <c r="AC428" s="83"/>
      <c r="AD428" s="33"/>
      <c r="AE428" s="83"/>
      <c r="AF428" s="33"/>
      <c r="AG428" s="244"/>
      <c r="AH428" s="83"/>
      <c r="AI428" s="246"/>
      <c r="AJ428" s="102"/>
      <c r="AK428" s="92"/>
      <c r="AL428" s="91"/>
      <c r="AM428" s="92"/>
      <c r="AN428" s="351"/>
      <c r="AO428" s="197">
        <f t="shared" si="27"/>
        <v>0</v>
      </c>
      <c r="AP428" s="91"/>
      <c r="AQ428" s="217"/>
      <c r="AR428" s="196"/>
      <c r="AS428" s="265"/>
      <c r="AT428" s="94"/>
      <c r="AU428" s="84"/>
      <c r="AV428" s="136"/>
      <c r="AW428" s="81"/>
      <c r="AX428" s="137"/>
      <c r="AY428" s="138"/>
      <c r="AZ428" s="220">
        <f t="shared" si="24"/>
        <v>0</v>
      </c>
      <c r="BA428" s="220">
        <f t="shared" si="25"/>
        <v>0</v>
      </c>
    </row>
    <row r="429" spans="1:53" ht="50.1" customHeight="1" x14ac:dyDescent="0.25">
      <c r="A429" s="17">
        <f t="shared" si="26"/>
        <v>415</v>
      </c>
      <c r="B429" s="228"/>
      <c r="C429" s="221"/>
      <c r="D429" s="88"/>
      <c r="E429" s="100"/>
      <c r="F429" s="95"/>
      <c r="G429" s="114"/>
      <c r="H429" s="96"/>
      <c r="I429" s="97"/>
      <c r="J429" s="98"/>
      <c r="K429" s="101"/>
      <c r="L429" s="124"/>
      <c r="M429" s="333"/>
      <c r="N429" s="341"/>
      <c r="O429" s="190"/>
      <c r="P429" s="191"/>
      <c r="Q429" s="190"/>
      <c r="R429" s="191"/>
      <c r="S429" s="294"/>
      <c r="T429" s="300"/>
      <c r="U429" s="306"/>
      <c r="V429" s="308"/>
      <c r="W429" s="248"/>
      <c r="X429" s="342"/>
      <c r="Y429" s="337"/>
      <c r="Z429" s="123"/>
      <c r="AA429" s="83"/>
      <c r="AB429" s="123"/>
      <c r="AC429" s="83"/>
      <c r="AD429" s="123"/>
      <c r="AE429" s="83"/>
      <c r="AF429" s="123"/>
      <c r="AG429" s="243"/>
      <c r="AH429" s="33"/>
      <c r="AI429" s="245"/>
      <c r="AJ429" s="125"/>
      <c r="AK429" s="92"/>
      <c r="AL429" s="126"/>
      <c r="AM429" s="91"/>
      <c r="AN429" s="91"/>
      <c r="AO429" s="197">
        <f t="shared" si="27"/>
        <v>0</v>
      </c>
      <c r="AP429" s="126"/>
      <c r="AQ429" s="217"/>
      <c r="AR429" s="201"/>
      <c r="AS429" s="266"/>
      <c r="AT429" s="94"/>
      <c r="AU429" s="84"/>
      <c r="AV429" s="80"/>
      <c r="AW429" s="81"/>
      <c r="AX429" s="77"/>
      <c r="AY429" s="107"/>
      <c r="AZ429" s="220">
        <f t="shared" si="24"/>
        <v>0</v>
      </c>
      <c r="BA429" s="220">
        <f t="shared" si="25"/>
        <v>0</v>
      </c>
    </row>
    <row r="430" spans="1:53" ht="50.1" customHeight="1" x14ac:dyDescent="0.25">
      <c r="A430" s="17">
        <f t="shared" si="26"/>
        <v>416</v>
      </c>
      <c r="B430" s="229"/>
      <c r="C430" s="222"/>
      <c r="D430" s="112"/>
      <c r="E430" s="128"/>
      <c r="F430" s="183"/>
      <c r="G430" s="130"/>
      <c r="H430" s="131"/>
      <c r="I430" s="132"/>
      <c r="J430" s="189"/>
      <c r="K430" s="133"/>
      <c r="L430" s="134"/>
      <c r="M430" s="334"/>
      <c r="N430" s="343"/>
      <c r="O430" s="193"/>
      <c r="P430" s="191"/>
      <c r="Q430" s="193"/>
      <c r="R430" s="191"/>
      <c r="S430" s="296"/>
      <c r="T430" s="302"/>
      <c r="U430" s="306"/>
      <c r="V430" s="308"/>
      <c r="W430" s="249"/>
      <c r="X430" s="344"/>
      <c r="Y430" s="337"/>
      <c r="Z430" s="33"/>
      <c r="AA430" s="83"/>
      <c r="AB430" s="33"/>
      <c r="AC430" s="83"/>
      <c r="AD430" s="33"/>
      <c r="AE430" s="83"/>
      <c r="AF430" s="33"/>
      <c r="AG430" s="244"/>
      <c r="AH430" s="83"/>
      <c r="AI430" s="246"/>
      <c r="AJ430" s="102"/>
      <c r="AK430" s="92"/>
      <c r="AL430" s="91"/>
      <c r="AM430" s="92"/>
      <c r="AN430" s="351"/>
      <c r="AO430" s="197">
        <f t="shared" si="27"/>
        <v>0</v>
      </c>
      <c r="AP430" s="91"/>
      <c r="AQ430" s="217"/>
      <c r="AR430" s="196"/>
      <c r="AS430" s="265"/>
      <c r="AT430" s="94"/>
      <c r="AU430" s="84"/>
      <c r="AV430" s="136"/>
      <c r="AW430" s="81"/>
      <c r="AX430" s="137"/>
      <c r="AY430" s="138"/>
      <c r="AZ430" s="220">
        <f t="shared" si="24"/>
        <v>0</v>
      </c>
      <c r="BA430" s="220">
        <f t="shared" si="25"/>
        <v>0</v>
      </c>
    </row>
    <row r="431" spans="1:53" ht="50.1" customHeight="1" x14ac:dyDescent="0.25">
      <c r="A431" s="17">
        <f t="shared" si="26"/>
        <v>417</v>
      </c>
      <c r="B431" s="228"/>
      <c r="C431" s="221"/>
      <c r="D431" s="88"/>
      <c r="E431" s="100"/>
      <c r="F431" s="95"/>
      <c r="G431" s="114"/>
      <c r="H431" s="96"/>
      <c r="I431" s="97"/>
      <c r="J431" s="98"/>
      <c r="K431" s="101"/>
      <c r="L431" s="124"/>
      <c r="M431" s="333"/>
      <c r="N431" s="341"/>
      <c r="O431" s="190"/>
      <c r="P431" s="191"/>
      <c r="Q431" s="190"/>
      <c r="R431" s="191"/>
      <c r="S431" s="294"/>
      <c r="T431" s="300"/>
      <c r="U431" s="306"/>
      <c r="V431" s="308"/>
      <c r="W431" s="248"/>
      <c r="X431" s="342"/>
      <c r="Y431" s="337"/>
      <c r="Z431" s="123"/>
      <c r="AA431" s="83"/>
      <c r="AB431" s="123"/>
      <c r="AC431" s="83"/>
      <c r="AD431" s="123"/>
      <c r="AE431" s="83"/>
      <c r="AF431" s="123"/>
      <c r="AG431" s="243"/>
      <c r="AH431" s="33"/>
      <c r="AI431" s="245"/>
      <c r="AJ431" s="125"/>
      <c r="AK431" s="92"/>
      <c r="AL431" s="126"/>
      <c r="AM431" s="91"/>
      <c r="AN431" s="91"/>
      <c r="AO431" s="197">
        <f t="shared" si="27"/>
        <v>0</v>
      </c>
      <c r="AP431" s="126"/>
      <c r="AQ431" s="217"/>
      <c r="AR431" s="201"/>
      <c r="AS431" s="266"/>
      <c r="AT431" s="94"/>
      <c r="AU431" s="84"/>
      <c r="AV431" s="80"/>
      <c r="AW431" s="81"/>
      <c r="AX431" s="77"/>
      <c r="AY431" s="107"/>
      <c r="AZ431" s="220">
        <f t="shared" si="24"/>
        <v>0</v>
      </c>
      <c r="BA431" s="220">
        <f t="shared" si="25"/>
        <v>0</v>
      </c>
    </row>
    <row r="432" spans="1:53" ht="50.1" customHeight="1" x14ac:dyDescent="0.25">
      <c r="A432" s="17">
        <f t="shared" si="26"/>
        <v>418</v>
      </c>
      <c r="B432" s="229"/>
      <c r="C432" s="222"/>
      <c r="D432" s="112"/>
      <c r="E432" s="100"/>
      <c r="F432" s="183"/>
      <c r="G432" s="130"/>
      <c r="H432" s="131"/>
      <c r="I432" s="132"/>
      <c r="J432" s="189"/>
      <c r="K432" s="133"/>
      <c r="L432" s="134"/>
      <c r="M432" s="334"/>
      <c r="N432" s="343"/>
      <c r="O432" s="193"/>
      <c r="P432" s="191"/>
      <c r="Q432" s="193"/>
      <c r="R432" s="191"/>
      <c r="S432" s="296"/>
      <c r="T432" s="302"/>
      <c r="U432" s="306"/>
      <c r="V432" s="308"/>
      <c r="W432" s="249"/>
      <c r="X432" s="345"/>
      <c r="Y432" s="337"/>
      <c r="Z432" s="33"/>
      <c r="AA432" s="83"/>
      <c r="AB432" s="33"/>
      <c r="AC432" s="83"/>
      <c r="AD432" s="33"/>
      <c r="AE432" s="83"/>
      <c r="AF432" s="33"/>
      <c r="AG432" s="244"/>
      <c r="AH432" s="83"/>
      <c r="AI432" s="246"/>
      <c r="AJ432" s="102"/>
      <c r="AK432" s="92"/>
      <c r="AL432" s="91"/>
      <c r="AM432" s="92"/>
      <c r="AN432" s="351"/>
      <c r="AO432" s="197">
        <f t="shared" si="27"/>
        <v>0</v>
      </c>
      <c r="AP432" s="91"/>
      <c r="AQ432" s="217"/>
      <c r="AR432" s="196"/>
      <c r="AS432" s="265"/>
      <c r="AT432" s="94"/>
      <c r="AU432" s="84"/>
      <c r="AV432" s="136"/>
      <c r="AW432" s="81"/>
      <c r="AX432" s="137"/>
      <c r="AY432" s="138"/>
      <c r="AZ432" s="220">
        <f t="shared" si="24"/>
        <v>0</v>
      </c>
      <c r="BA432" s="220">
        <f t="shared" si="25"/>
        <v>0</v>
      </c>
    </row>
    <row r="433" spans="1:53" ht="50.1" customHeight="1" x14ac:dyDescent="0.25">
      <c r="A433" s="17">
        <f t="shared" si="26"/>
        <v>419</v>
      </c>
      <c r="B433" s="228"/>
      <c r="C433" s="221"/>
      <c r="D433" s="88"/>
      <c r="E433" s="128"/>
      <c r="F433" s="95"/>
      <c r="G433" s="114"/>
      <c r="H433" s="96"/>
      <c r="I433" s="97"/>
      <c r="J433" s="98"/>
      <c r="K433" s="101"/>
      <c r="L433" s="124"/>
      <c r="M433" s="333"/>
      <c r="N433" s="341"/>
      <c r="O433" s="190"/>
      <c r="P433" s="191"/>
      <c r="Q433" s="190"/>
      <c r="R433" s="191"/>
      <c r="S433" s="294"/>
      <c r="T433" s="300"/>
      <c r="U433" s="306"/>
      <c r="V433" s="308"/>
      <c r="W433" s="248"/>
      <c r="X433" s="342"/>
      <c r="Y433" s="337"/>
      <c r="Z433" s="123"/>
      <c r="AA433" s="83"/>
      <c r="AB433" s="123"/>
      <c r="AC433" s="83"/>
      <c r="AD433" s="123"/>
      <c r="AE433" s="83"/>
      <c r="AF433" s="123"/>
      <c r="AG433" s="243"/>
      <c r="AH433" s="33"/>
      <c r="AI433" s="245"/>
      <c r="AJ433" s="125"/>
      <c r="AK433" s="92"/>
      <c r="AL433" s="126"/>
      <c r="AM433" s="91"/>
      <c r="AN433" s="91"/>
      <c r="AO433" s="197">
        <f t="shared" si="27"/>
        <v>0</v>
      </c>
      <c r="AP433" s="126"/>
      <c r="AQ433" s="217"/>
      <c r="AR433" s="201"/>
      <c r="AS433" s="266"/>
      <c r="AT433" s="94"/>
      <c r="AU433" s="84"/>
      <c r="AV433" s="80"/>
      <c r="AW433" s="81"/>
      <c r="AX433" s="77"/>
      <c r="AY433" s="107"/>
      <c r="AZ433" s="220">
        <f t="shared" si="24"/>
        <v>0</v>
      </c>
      <c r="BA433" s="220">
        <f t="shared" si="25"/>
        <v>0</v>
      </c>
    </row>
    <row r="434" spans="1:53" ht="50.1" customHeight="1" x14ac:dyDescent="0.25">
      <c r="A434" s="17">
        <f t="shared" si="26"/>
        <v>420</v>
      </c>
      <c r="B434" s="229"/>
      <c r="C434" s="222"/>
      <c r="D434" s="112"/>
      <c r="E434" s="128"/>
      <c r="F434" s="129"/>
      <c r="G434" s="130"/>
      <c r="H434" s="131"/>
      <c r="I434" s="132"/>
      <c r="J434" s="189"/>
      <c r="K434" s="133"/>
      <c r="L434" s="134"/>
      <c r="M434" s="334"/>
      <c r="N434" s="343"/>
      <c r="O434" s="194"/>
      <c r="P434" s="190"/>
      <c r="Q434" s="194"/>
      <c r="R434" s="190"/>
      <c r="S434" s="297"/>
      <c r="T434" s="303"/>
      <c r="U434" s="294"/>
      <c r="V434" s="300"/>
      <c r="W434" s="249"/>
      <c r="X434" s="344"/>
      <c r="Y434" s="337"/>
      <c r="Z434" s="33"/>
      <c r="AA434" s="83"/>
      <c r="AB434" s="33"/>
      <c r="AC434" s="83"/>
      <c r="AD434" s="33"/>
      <c r="AE434" s="83"/>
      <c r="AF434" s="33"/>
      <c r="AG434" s="244"/>
      <c r="AH434" s="83"/>
      <c r="AI434" s="246"/>
      <c r="AJ434" s="102"/>
      <c r="AK434" s="92"/>
      <c r="AL434" s="91"/>
      <c r="AM434" s="92"/>
      <c r="AN434" s="351"/>
      <c r="AO434" s="197">
        <f t="shared" si="27"/>
        <v>0</v>
      </c>
      <c r="AP434" s="91"/>
      <c r="AQ434" s="217"/>
      <c r="AR434" s="103"/>
      <c r="AS434" s="264"/>
      <c r="AT434" s="94"/>
      <c r="AU434" s="84"/>
      <c r="AV434" s="136"/>
      <c r="AW434" s="81"/>
      <c r="AX434" s="137"/>
      <c r="AY434" s="138"/>
      <c r="AZ434" s="220">
        <f t="shared" si="24"/>
        <v>0</v>
      </c>
      <c r="BA434" s="220">
        <f t="shared" si="25"/>
        <v>0</v>
      </c>
    </row>
    <row r="435" spans="1:53" ht="50.1" customHeight="1" x14ac:dyDescent="0.25">
      <c r="A435" s="17">
        <f t="shared" si="26"/>
        <v>421</v>
      </c>
      <c r="B435" s="228"/>
      <c r="C435" s="221"/>
      <c r="D435" s="88"/>
      <c r="E435" s="100"/>
      <c r="F435" s="95"/>
      <c r="G435" s="114"/>
      <c r="H435" s="96"/>
      <c r="I435" s="97"/>
      <c r="J435" s="98"/>
      <c r="K435" s="101"/>
      <c r="L435" s="124"/>
      <c r="M435" s="333"/>
      <c r="N435" s="341"/>
      <c r="O435" s="190"/>
      <c r="P435" s="191"/>
      <c r="Q435" s="190"/>
      <c r="R435" s="191"/>
      <c r="S435" s="294"/>
      <c r="T435" s="300"/>
      <c r="U435" s="306"/>
      <c r="V435" s="308"/>
      <c r="W435" s="248"/>
      <c r="X435" s="342"/>
      <c r="Y435" s="337"/>
      <c r="Z435" s="123"/>
      <c r="AA435" s="83"/>
      <c r="AB435" s="123"/>
      <c r="AC435" s="83"/>
      <c r="AD435" s="123"/>
      <c r="AE435" s="83"/>
      <c r="AF435" s="123"/>
      <c r="AG435" s="243"/>
      <c r="AH435" s="33"/>
      <c r="AI435" s="245"/>
      <c r="AJ435" s="125"/>
      <c r="AK435" s="92"/>
      <c r="AL435" s="126"/>
      <c r="AM435" s="91"/>
      <c r="AN435" s="91"/>
      <c r="AO435" s="197">
        <f t="shared" si="27"/>
        <v>0</v>
      </c>
      <c r="AP435" s="126"/>
      <c r="AQ435" s="217"/>
      <c r="AR435" s="201"/>
      <c r="AS435" s="266"/>
      <c r="AT435" s="94"/>
      <c r="AU435" s="84"/>
      <c r="AV435" s="80"/>
      <c r="AW435" s="81"/>
      <c r="AX435" s="77"/>
      <c r="AY435" s="107"/>
      <c r="AZ435" s="220">
        <f t="shared" si="24"/>
        <v>0</v>
      </c>
      <c r="BA435" s="220">
        <f t="shared" si="25"/>
        <v>0</v>
      </c>
    </row>
    <row r="436" spans="1:53" ht="50.1" customHeight="1" x14ac:dyDescent="0.25">
      <c r="A436" s="17">
        <f t="shared" si="26"/>
        <v>422</v>
      </c>
      <c r="B436" s="229"/>
      <c r="C436" s="222"/>
      <c r="D436" s="112"/>
      <c r="E436" s="128"/>
      <c r="F436" s="129"/>
      <c r="G436" s="130"/>
      <c r="H436" s="131"/>
      <c r="I436" s="132"/>
      <c r="J436" s="108"/>
      <c r="K436" s="133"/>
      <c r="L436" s="134"/>
      <c r="M436" s="334"/>
      <c r="N436" s="343"/>
      <c r="O436" s="194"/>
      <c r="P436" s="190"/>
      <c r="Q436" s="194"/>
      <c r="R436" s="190"/>
      <c r="S436" s="297"/>
      <c r="T436" s="303"/>
      <c r="U436" s="294"/>
      <c r="V436" s="300"/>
      <c r="W436" s="249"/>
      <c r="X436" s="344"/>
      <c r="Y436" s="337"/>
      <c r="Z436" s="33"/>
      <c r="AA436" s="83"/>
      <c r="AB436" s="33"/>
      <c r="AC436" s="83"/>
      <c r="AD436" s="33"/>
      <c r="AE436" s="83"/>
      <c r="AF436" s="33"/>
      <c r="AG436" s="244"/>
      <c r="AH436" s="83"/>
      <c r="AI436" s="246"/>
      <c r="AJ436" s="102"/>
      <c r="AK436" s="92"/>
      <c r="AL436" s="91"/>
      <c r="AM436" s="92"/>
      <c r="AN436" s="351"/>
      <c r="AO436" s="197">
        <f t="shared" si="27"/>
        <v>0</v>
      </c>
      <c r="AP436" s="91"/>
      <c r="AQ436" s="217"/>
      <c r="AR436" s="103"/>
      <c r="AS436" s="264"/>
      <c r="AT436" s="94"/>
      <c r="AU436" s="84"/>
      <c r="AV436" s="136"/>
      <c r="AW436" s="81"/>
      <c r="AX436" s="137"/>
      <c r="AY436" s="138"/>
      <c r="AZ436" s="220">
        <f t="shared" si="24"/>
        <v>0</v>
      </c>
      <c r="BA436" s="220">
        <f t="shared" si="25"/>
        <v>0</v>
      </c>
    </row>
    <row r="437" spans="1:53" ht="50.1" customHeight="1" x14ac:dyDescent="0.25">
      <c r="A437" s="17">
        <f t="shared" si="26"/>
        <v>423</v>
      </c>
      <c r="B437" s="228"/>
      <c r="C437" s="221"/>
      <c r="D437" s="88"/>
      <c r="E437" s="100"/>
      <c r="F437" s="95"/>
      <c r="G437" s="114"/>
      <c r="H437" s="96"/>
      <c r="I437" s="97"/>
      <c r="J437" s="98"/>
      <c r="K437" s="101"/>
      <c r="L437" s="124"/>
      <c r="M437" s="333"/>
      <c r="N437" s="341"/>
      <c r="O437" s="190"/>
      <c r="P437" s="191"/>
      <c r="Q437" s="190"/>
      <c r="R437" s="191"/>
      <c r="S437" s="294"/>
      <c r="T437" s="300"/>
      <c r="U437" s="306"/>
      <c r="V437" s="308"/>
      <c r="W437" s="248"/>
      <c r="X437" s="342"/>
      <c r="Y437" s="337"/>
      <c r="Z437" s="123"/>
      <c r="AA437" s="83"/>
      <c r="AB437" s="123"/>
      <c r="AC437" s="83"/>
      <c r="AD437" s="123"/>
      <c r="AE437" s="83"/>
      <c r="AF437" s="123"/>
      <c r="AG437" s="243"/>
      <c r="AH437" s="33"/>
      <c r="AI437" s="245"/>
      <c r="AJ437" s="125"/>
      <c r="AK437" s="92"/>
      <c r="AL437" s="126"/>
      <c r="AM437" s="91"/>
      <c r="AN437" s="91"/>
      <c r="AO437" s="197">
        <f t="shared" si="27"/>
        <v>0</v>
      </c>
      <c r="AP437" s="126"/>
      <c r="AQ437" s="217"/>
      <c r="AR437" s="201"/>
      <c r="AS437" s="266"/>
      <c r="AT437" s="94"/>
      <c r="AU437" s="84"/>
      <c r="AV437" s="80"/>
      <c r="AW437" s="81"/>
      <c r="AX437" s="77"/>
      <c r="AY437" s="107"/>
      <c r="AZ437" s="220">
        <f t="shared" si="24"/>
        <v>0</v>
      </c>
      <c r="BA437" s="220">
        <f t="shared" si="25"/>
        <v>0</v>
      </c>
    </row>
    <row r="438" spans="1:53" ht="50.1" customHeight="1" x14ac:dyDescent="0.25">
      <c r="A438" s="17">
        <f t="shared" si="26"/>
        <v>424</v>
      </c>
      <c r="B438" s="229"/>
      <c r="C438" s="222"/>
      <c r="D438" s="112"/>
      <c r="E438" s="128"/>
      <c r="F438" s="129"/>
      <c r="G438" s="130"/>
      <c r="H438" s="131"/>
      <c r="I438" s="132"/>
      <c r="J438" s="189"/>
      <c r="K438" s="133"/>
      <c r="L438" s="134"/>
      <c r="M438" s="334"/>
      <c r="N438" s="343"/>
      <c r="O438" s="194"/>
      <c r="P438" s="190"/>
      <c r="Q438" s="194"/>
      <c r="R438" s="190"/>
      <c r="S438" s="297"/>
      <c r="T438" s="303"/>
      <c r="U438" s="294"/>
      <c r="V438" s="300"/>
      <c r="W438" s="249"/>
      <c r="X438" s="344"/>
      <c r="Y438" s="337"/>
      <c r="Z438" s="33"/>
      <c r="AA438" s="83"/>
      <c r="AB438" s="33"/>
      <c r="AC438" s="83"/>
      <c r="AD438" s="33"/>
      <c r="AE438" s="83"/>
      <c r="AF438" s="33"/>
      <c r="AG438" s="244"/>
      <c r="AH438" s="83"/>
      <c r="AI438" s="246"/>
      <c r="AJ438" s="102"/>
      <c r="AK438" s="92"/>
      <c r="AL438" s="91"/>
      <c r="AM438" s="92"/>
      <c r="AN438" s="351"/>
      <c r="AO438" s="197">
        <f t="shared" si="27"/>
        <v>0</v>
      </c>
      <c r="AP438" s="91"/>
      <c r="AQ438" s="217"/>
      <c r="AR438" s="103"/>
      <c r="AS438" s="264"/>
      <c r="AT438" s="94"/>
      <c r="AU438" s="84"/>
      <c r="AV438" s="136"/>
      <c r="AW438" s="77"/>
      <c r="AX438" s="137"/>
      <c r="AY438" s="138"/>
      <c r="AZ438" s="220">
        <f t="shared" si="24"/>
        <v>0</v>
      </c>
      <c r="BA438" s="220">
        <f t="shared" si="25"/>
        <v>0</v>
      </c>
    </row>
    <row r="439" spans="1:53" ht="50.1" customHeight="1" x14ac:dyDescent="0.25">
      <c r="A439" s="17">
        <f t="shared" si="26"/>
        <v>425</v>
      </c>
      <c r="B439" s="228"/>
      <c r="C439" s="221"/>
      <c r="D439" s="88"/>
      <c r="E439" s="100"/>
      <c r="F439" s="95"/>
      <c r="G439" s="114"/>
      <c r="H439" s="96"/>
      <c r="I439" s="97"/>
      <c r="J439" s="98"/>
      <c r="K439" s="101"/>
      <c r="L439" s="124"/>
      <c r="M439" s="333"/>
      <c r="N439" s="341"/>
      <c r="O439" s="190"/>
      <c r="P439" s="191"/>
      <c r="Q439" s="190"/>
      <c r="R439" s="191"/>
      <c r="S439" s="294"/>
      <c r="T439" s="300"/>
      <c r="U439" s="306"/>
      <c r="V439" s="308"/>
      <c r="W439" s="248"/>
      <c r="X439" s="342"/>
      <c r="Y439" s="337"/>
      <c r="Z439" s="123"/>
      <c r="AA439" s="83"/>
      <c r="AB439" s="123"/>
      <c r="AC439" s="83"/>
      <c r="AD439" s="123"/>
      <c r="AE439" s="83"/>
      <c r="AF439" s="123"/>
      <c r="AG439" s="243"/>
      <c r="AH439" s="33"/>
      <c r="AI439" s="245"/>
      <c r="AJ439" s="125"/>
      <c r="AK439" s="92"/>
      <c r="AL439" s="126"/>
      <c r="AM439" s="91"/>
      <c r="AN439" s="91"/>
      <c r="AO439" s="197">
        <f t="shared" si="27"/>
        <v>0</v>
      </c>
      <c r="AP439" s="126"/>
      <c r="AQ439" s="217"/>
      <c r="AR439" s="201"/>
      <c r="AS439" s="266"/>
      <c r="AT439" s="94"/>
      <c r="AU439" s="84"/>
      <c r="AV439" s="80"/>
      <c r="AW439" s="81"/>
      <c r="AX439" s="77"/>
      <c r="AY439" s="107"/>
      <c r="AZ439" s="220">
        <f t="shared" si="24"/>
        <v>0</v>
      </c>
      <c r="BA439" s="220">
        <f t="shared" si="25"/>
        <v>0</v>
      </c>
    </row>
    <row r="440" spans="1:53" ht="50.1" customHeight="1" x14ac:dyDescent="0.25">
      <c r="A440" s="17">
        <f t="shared" si="26"/>
        <v>426</v>
      </c>
      <c r="B440" s="229"/>
      <c r="C440" s="222"/>
      <c r="D440" s="112"/>
      <c r="E440" s="128"/>
      <c r="F440" s="129"/>
      <c r="G440" s="130"/>
      <c r="H440" s="131"/>
      <c r="I440" s="132"/>
      <c r="J440" s="108"/>
      <c r="K440" s="133"/>
      <c r="L440" s="134"/>
      <c r="M440" s="334"/>
      <c r="N440" s="343"/>
      <c r="O440" s="194"/>
      <c r="P440" s="190"/>
      <c r="Q440" s="194"/>
      <c r="R440" s="190"/>
      <c r="S440" s="297"/>
      <c r="T440" s="303"/>
      <c r="U440" s="294"/>
      <c r="V440" s="300"/>
      <c r="W440" s="249"/>
      <c r="X440" s="344"/>
      <c r="Y440" s="337"/>
      <c r="Z440" s="33"/>
      <c r="AA440" s="83"/>
      <c r="AB440" s="33"/>
      <c r="AC440" s="83"/>
      <c r="AD440" s="33"/>
      <c r="AE440" s="83"/>
      <c r="AF440" s="33"/>
      <c r="AG440" s="244"/>
      <c r="AH440" s="83"/>
      <c r="AI440" s="246"/>
      <c r="AJ440" s="102"/>
      <c r="AK440" s="92"/>
      <c r="AL440" s="91"/>
      <c r="AM440" s="92"/>
      <c r="AN440" s="351"/>
      <c r="AO440" s="197">
        <f t="shared" si="27"/>
        <v>0</v>
      </c>
      <c r="AP440" s="91"/>
      <c r="AQ440" s="217"/>
      <c r="AR440" s="103"/>
      <c r="AS440" s="264"/>
      <c r="AT440" s="94"/>
      <c r="AU440" s="84"/>
      <c r="AV440" s="136"/>
      <c r="AW440" s="77"/>
      <c r="AX440" s="137"/>
      <c r="AY440" s="138"/>
      <c r="AZ440" s="220">
        <f t="shared" si="24"/>
        <v>0</v>
      </c>
      <c r="BA440" s="220">
        <f t="shared" si="25"/>
        <v>0</v>
      </c>
    </row>
    <row r="441" spans="1:53" ht="50.1" customHeight="1" x14ac:dyDescent="0.25">
      <c r="A441" s="17">
        <f t="shared" si="26"/>
        <v>427</v>
      </c>
      <c r="B441" s="228"/>
      <c r="C441" s="221"/>
      <c r="D441" s="88"/>
      <c r="E441" s="100"/>
      <c r="F441" s="95"/>
      <c r="G441" s="114"/>
      <c r="H441" s="96"/>
      <c r="I441" s="97"/>
      <c r="J441" s="98"/>
      <c r="K441" s="101"/>
      <c r="L441" s="124"/>
      <c r="M441" s="333"/>
      <c r="N441" s="341"/>
      <c r="O441" s="190"/>
      <c r="P441" s="191"/>
      <c r="Q441" s="190"/>
      <c r="R441" s="191"/>
      <c r="S441" s="294"/>
      <c r="T441" s="300"/>
      <c r="U441" s="306"/>
      <c r="V441" s="308"/>
      <c r="W441" s="248"/>
      <c r="X441" s="342"/>
      <c r="Y441" s="337"/>
      <c r="Z441" s="123"/>
      <c r="AA441" s="83"/>
      <c r="AB441" s="123"/>
      <c r="AC441" s="83"/>
      <c r="AD441" s="123"/>
      <c r="AE441" s="83"/>
      <c r="AF441" s="123"/>
      <c r="AG441" s="243"/>
      <c r="AH441" s="33"/>
      <c r="AI441" s="245"/>
      <c r="AJ441" s="125"/>
      <c r="AK441" s="92"/>
      <c r="AL441" s="126"/>
      <c r="AM441" s="91"/>
      <c r="AN441" s="91"/>
      <c r="AO441" s="197">
        <f t="shared" si="27"/>
        <v>0</v>
      </c>
      <c r="AP441" s="126"/>
      <c r="AQ441" s="217"/>
      <c r="AR441" s="201"/>
      <c r="AS441" s="266"/>
      <c r="AT441" s="94"/>
      <c r="AU441" s="84"/>
      <c r="AV441" s="80"/>
      <c r="AW441" s="81"/>
      <c r="AX441" s="77"/>
      <c r="AY441" s="107"/>
      <c r="AZ441" s="220">
        <f t="shared" si="24"/>
        <v>0</v>
      </c>
      <c r="BA441" s="220">
        <f t="shared" si="25"/>
        <v>0</v>
      </c>
    </row>
    <row r="442" spans="1:53" ht="50.1" customHeight="1" x14ac:dyDescent="0.25">
      <c r="A442" s="17">
        <f t="shared" si="26"/>
        <v>428</v>
      </c>
      <c r="B442" s="229"/>
      <c r="C442" s="222"/>
      <c r="D442" s="112"/>
      <c r="E442" s="128"/>
      <c r="F442" s="129"/>
      <c r="G442" s="130"/>
      <c r="H442" s="131"/>
      <c r="I442" s="132"/>
      <c r="J442" s="189"/>
      <c r="K442" s="133"/>
      <c r="L442" s="134"/>
      <c r="M442" s="334"/>
      <c r="N442" s="343"/>
      <c r="O442" s="194"/>
      <c r="P442" s="190"/>
      <c r="Q442" s="194"/>
      <c r="R442" s="190"/>
      <c r="S442" s="297"/>
      <c r="T442" s="303"/>
      <c r="U442" s="294"/>
      <c r="V442" s="300"/>
      <c r="W442" s="249"/>
      <c r="X442" s="344"/>
      <c r="Y442" s="337"/>
      <c r="Z442" s="33"/>
      <c r="AA442" s="83"/>
      <c r="AB442" s="33"/>
      <c r="AC442" s="83"/>
      <c r="AD442" s="33"/>
      <c r="AE442" s="83"/>
      <c r="AF442" s="33"/>
      <c r="AG442" s="244"/>
      <c r="AH442" s="83"/>
      <c r="AI442" s="246"/>
      <c r="AJ442" s="102"/>
      <c r="AK442" s="92"/>
      <c r="AL442" s="91"/>
      <c r="AM442" s="92"/>
      <c r="AN442" s="351"/>
      <c r="AO442" s="197">
        <f t="shared" si="27"/>
        <v>0</v>
      </c>
      <c r="AP442" s="91"/>
      <c r="AQ442" s="217"/>
      <c r="AR442" s="103"/>
      <c r="AS442" s="264"/>
      <c r="AT442" s="94"/>
      <c r="AU442" s="84"/>
      <c r="AV442" s="136"/>
      <c r="AW442" s="77"/>
      <c r="AX442" s="137"/>
      <c r="AY442" s="138"/>
      <c r="AZ442" s="220">
        <f t="shared" si="24"/>
        <v>0</v>
      </c>
      <c r="BA442" s="220">
        <f t="shared" si="25"/>
        <v>0</v>
      </c>
    </row>
    <row r="443" spans="1:53" ht="50.1" customHeight="1" x14ac:dyDescent="0.25">
      <c r="A443" s="17">
        <f t="shared" si="26"/>
        <v>429</v>
      </c>
      <c r="B443" s="228"/>
      <c r="C443" s="221"/>
      <c r="D443" s="88"/>
      <c r="E443" s="100"/>
      <c r="F443" s="95"/>
      <c r="G443" s="114"/>
      <c r="H443" s="96"/>
      <c r="I443" s="97"/>
      <c r="J443" s="98"/>
      <c r="K443" s="101"/>
      <c r="L443" s="124"/>
      <c r="M443" s="333"/>
      <c r="N443" s="341"/>
      <c r="O443" s="190"/>
      <c r="P443" s="191"/>
      <c r="Q443" s="190"/>
      <c r="R443" s="191"/>
      <c r="S443" s="294"/>
      <c r="T443" s="300"/>
      <c r="U443" s="306"/>
      <c r="V443" s="308"/>
      <c r="W443" s="248"/>
      <c r="X443" s="342"/>
      <c r="Y443" s="336"/>
      <c r="Z443" s="123"/>
      <c r="AA443" s="33"/>
      <c r="AB443" s="123"/>
      <c r="AC443" s="33"/>
      <c r="AD443" s="123"/>
      <c r="AE443" s="33"/>
      <c r="AF443" s="123"/>
      <c r="AG443" s="243"/>
      <c r="AH443" s="33"/>
      <c r="AI443" s="245"/>
      <c r="AJ443" s="125"/>
      <c r="AK443" s="91"/>
      <c r="AL443" s="126"/>
      <c r="AM443" s="91"/>
      <c r="AN443" s="91"/>
      <c r="AO443" s="197">
        <f t="shared" si="27"/>
        <v>0</v>
      </c>
      <c r="AP443" s="126"/>
      <c r="AQ443" s="216"/>
      <c r="AR443" s="127"/>
      <c r="AS443" s="269"/>
      <c r="AT443" s="94"/>
      <c r="AU443" s="84"/>
      <c r="AV443" s="80"/>
      <c r="AW443" s="81"/>
      <c r="AX443" s="77"/>
      <c r="AY443" s="107"/>
      <c r="AZ443" s="220">
        <f t="shared" si="24"/>
        <v>0</v>
      </c>
      <c r="BA443" s="220">
        <f t="shared" si="25"/>
        <v>0</v>
      </c>
    </row>
    <row r="444" spans="1:53" ht="50.1" customHeight="1" x14ac:dyDescent="0.25">
      <c r="A444" s="17">
        <f t="shared" si="26"/>
        <v>430</v>
      </c>
      <c r="B444" s="229"/>
      <c r="C444" s="222"/>
      <c r="D444" s="112"/>
      <c r="E444" s="128"/>
      <c r="F444" s="129"/>
      <c r="G444" s="130"/>
      <c r="H444" s="131"/>
      <c r="I444" s="132"/>
      <c r="J444" s="108"/>
      <c r="K444" s="133"/>
      <c r="L444" s="134"/>
      <c r="M444" s="334"/>
      <c r="N444" s="343"/>
      <c r="O444" s="194"/>
      <c r="P444" s="190"/>
      <c r="Q444" s="194"/>
      <c r="R444" s="190"/>
      <c r="S444" s="297"/>
      <c r="T444" s="303"/>
      <c r="U444" s="294"/>
      <c r="V444" s="300"/>
      <c r="W444" s="249"/>
      <c r="X444" s="344"/>
      <c r="Y444" s="337"/>
      <c r="Z444" s="33"/>
      <c r="AA444" s="83"/>
      <c r="AB444" s="33"/>
      <c r="AC444" s="83"/>
      <c r="AD444" s="33"/>
      <c r="AE444" s="83"/>
      <c r="AF444" s="33"/>
      <c r="AG444" s="244"/>
      <c r="AH444" s="83"/>
      <c r="AI444" s="246"/>
      <c r="AJ444" s="102"/>
      <c r="AK444" s="92"/>
      <c r="AL444" s="91"/>
      <c r="AM444" s="92"/>
      <c r="AN444" s="351"/>
      <c r="AO444" s="197">
        <f t="shared" si="27"/>
        <v>0</v>
      </c>
      <c r="AP444" s="91"/>
      <c r="AQ444" s="217"/>
      <c r="AR444" s="103"/>
      <c r="AS444" s="264"/>
      <c r="AT444" s="94"/>
      <c r="AU444" s="84"/>
      <c r="AV444" s="136"/>
      <c r="AW444" s="77"/>
      <c r="AX444" s="137"/>
      <c r="AY444" s="138"/>
      <c r="AZ444" s="220">
        <f t="shared" si="24"/>
        <v>0</v>
      </c>
      <c r="BA444" s="220">
        <f t="shared" si="25"/>
        <v>0</v>
      </c>
    </row>
    <row r="445" spans="1:53" ht="50.1" customHeight="1" x14ac:dyDescent="0.25">
      <c r="A445" s="17">
        <f t="shared" si="26"/>
        <v>431</v>
      </c>
      <c r="B445" s="228"/>
      <c r="C445" s="221"/>
      <c r="D445" s="88"/>
      <c r="E445" s="100"/>
      <c r="F445" s="95"/>
      <c r="G445" s="114"/>
      <c r="H445" s="96"/>
      <c r="I445" s="97"/>
      <c r="J445" s="98"/>
      <c r="K445" s="101"/>
      <c r="L445" s="124"/>
      <c r="M445" s="333"/>
      <c r="N445" s="341"/>
      <c r="O445" s="190"/>
      <c r="P445" s="191"/>
      <c r="Q445" s="190"/>
      <c r="R445" s="191"/>
      <c r="S445" s="294"/>
      <c r="T445" s="300"/>
      <c r="U445" s="306"/>
      <c r="V445" s="308"/>
      <c r="W445" s="248"/>
      <c r="X445" s="342"/>
      <c r="Y445" s="336"/>
      <c r="Z445" s="123"/>
      <c r="AA445" s="33"/>
      <c r="AB445" s="123"/>
      <c r="AC445" s="33"/>
      <c r="AD445" s="123"/>
      <c r="AE445" s="33"/>
      <c r="AF445" s="123"/>
      <c r="AG445" s="243"/>
      <c r="AH445" s="33"/>
      <c r="AI445" s="245"/>
      <c r="AJ445" s="125"/>
      <c r="AK445" s="91"/>
      <c r="AL445" s="126"/>
      <c r="AM445" s="91"/>
      <c r="AN445" s="91"/>
      <c r="AO445" s="197">
        <f t="shared" si="27"/>
        <v>0</v>
      </c>
      <c r="AP445" s="126"/>
      <c r="AQ445" s="216"/>
      <c r="AR445" s="127"/>
      <c r="AS445" s="269"/>
      <c r="AT445" s="94"/>
      <c r="AU445" s="84"/>
      <c r="AV445" s="80"/>
      <c r="AW445" s="81"/>
      <c r="AX445" s="77"/>
      <c r="AY445" s="107"/>
      <c r="AZ445" s="220">
        <f t="shared" si="24"/>
        <v>0</v>
      </c>
      <c r="BA445" s="220">
        <f t="shared" si="25"/>
        <v>0</v>
      </c>
    </row>
    <row r="446" spans="1:53" ht="50.1" customHeight="1" x14ac:dyDescent="0.25">
      <c r="A446" s="17">
        <f t="shared" si="26"/>
        <v>432</v>
      </c>
      <c r="B446" s="229"/>
      <c r="C446" s="222"/>
      <c r="D446" s="112"/>
      <c r="E446" s="128"/>
      <c r="F446" s="129"/>
      <c r="G446" s="130"/>
      <c r="H446" s="131"/>
      <c r="I446" s="132"/>
      <c r="J446" s="189"/>
      <c r="K446" s="133"/>
      <c r="L446" s="134"/>
      <c r="M446" s="334"/>
      <c r="N446" s="343"/>
      <c r="O446" s="194"/>
      <c r="P446" s="190"/>
      <c r="Q446" s="194"/>
      <c r="R446" s="190"/>
      <c r="S446" s="297"/>
      <c r="T446" s="303"/>
      <c r="U446" s="294"/>
      <c r="V446" s="300"/>
      <c r="W446" s="249"/>
      <c r="X446" s="344"/>
      <c r="Y446" s="337"/>
      <c r="Z446" s="33"/>
      <c r="AA446" s="83"/>
      <c r="AB446" s="33"/>
      <c r="AC446" s="83"/>
      <c r="AD446" s="33"/>
      <c r="AE446" s="83"/>
      <c r="AF446" s="33"/>
      <c r="AG446" s="244"/>
      <c r="AH446" s="83"/>
      <c r="AI446" s="246"/>
      <c r="AJ446" s="102"/>
      <c r="AK446" s="92"/>
      <c r="AL446" s="91"/>
      <c r="AM446" s="92"/>
      <c r="AN446" s="351"/>
      <c r="AO446" s="197">
        <f t="shared" si="27"/>
        <v>0</v>
      </c>
      <c r="AP446" s="91"/>
      <c r="AQ446" s="217"/>
      <c r="AR446" s="103"/>
      <c r="AS446" s="264"/>
      <c r="AT446" s="94"/>
      <c r="AU446" s="84"/>
      <c r="AV446" s="136"/>
      <c r="AW446" s="77"/>
      <c r="AX446" s="137"/>
      <c r="AY446" s="138"/>
      <c r="AZ446" s="220">
        <f t="shared" si="24"/>
        <v>0</v>
      </c>
      <c r="BA446" s="220">
        <f t="shared" si="25"/>
        <v>0</v>
      </c>
    </row>
    <row r="447" spans="1:53" ht="50.1" customHeight="1" x14ac:dyDescent="0.25">
      <c r="A447" s="17">
        <f t="shared" si="26"/>
        <v>433</v>
      </c>
      <c r="B447" s="228"/>
      <c r="C447" s="221"/>
      <c r="D447" s="88"/>
      <c r="E447" s="100"/>
      <c r="F447" s="95"/>
      <c r="G447" s="114"/>
      <c r="H447" s="96"/>
      <c r="I447" s="97"/>
      <c r="J447" s="98"/>
      <c r="K447" s="101"/>
      <c r="L447" s="124"/>
      <c r="M447" s="333"/>
      <c r="N447" s="341"/>
      <c r="O447" s="190"/>
      <c r="P447" s="191"/>
      <c r="Q447" s="190"/>
      <c r="R447" s="191"/>
      <c r="S447" s="294"/>
      <c r="T447" s="300"/>
      <c r="U447" s="306"/>
      <c r="V447" s="308"/>
      <c r="W447" s="248"/>
      <c r="X447" s="342"/>
      <c r="Y447" s="336"/>
      <c r="Z447" s="123"/>
      <c r="AA447" s="33"/>
      <c r="AB447" s="123"/>
      <c r="AC447" s="33"/>
      <c r="AD447" s="123"/>
      <c r="AE447" s="33"/>
      <c r="AF447" s="123"/>
      <c r="AG447" s="243"/>
      <c r="AH447" s="33"/>
      <c r="AI447" s="245"/>
      <c r="AJ447" s="125"/>
      <c r="AK447" s="91"/>
      <c r="AL447" s="126"/>
      <c r="AM447" s="91"/>
      <c r="AN447" s="91"/>
      <c r="AO447" s="197">
        <f t="shared" si="27"/>
        <v>0</v>
      </c>
      <c r="AP447" s="126"/>
      <c r="AQ447" s="216"/>
      <c r="AR447" s="127"/>
      <c r="AS447" s="269"/>
      <c r="AT447" s="94"/>
      <c r="AU447" s="84"/>
      <c r="AV447" s="80"/>
      <c r="AW447" s="81"/>
      <c r="AX447" s="77"/>
      <c r="AY447" s="107"/>
      <c r="AZ447" s="220">
        <f t="shared" si="24"/>
        <v>0</v>
      </c>
      <c r="BA447" s="220">
        <f t="shared" si="25"/>
        <v>0</v>
      </c>
    </row>
    <row r="448" spans="1:53" ht="50.1" customHeight="1" x14ac:dyDescent="0.25">
      <c r="A448" s="17">
        <f t="shared" si="26"/>
        <v>434</v>
      </c>
      <c r="B448" s="229"/>
      <c r="C448" s="222"/>
      <c r="D448" s="112"/>
      <c r="E448" s="128"/>
      <c r="F448" s="129"/>
      <c r="G448" s="130"/>
      <c r="H448" s="131"/>
      <c r="I448" s="132"/>
      <c r="J448" s="108"/>
      <c r="K448" s="133"/>
      <c r="L448" s="134"/>
      <c r="M448" s="334"/>
      <c r="N448" s="343"/>
      <c r="O448" s="194"/>
      <c r="P448" s="190"/>
      <c r="Q448" s="194"/>
      <c r="R448" s="190"/>
      <c r="S448" s="297"/>
      <c r="T448" s="303"/>
      <c r="U448" s="294"/>
      <c r="V448" s="300"/>
      <c r="W448" s="249"/>
      <c r="X448" s="344"/>
      <c r="Y448" s="337"/>
      <c r="Z448" s="33"/>
      <c r="AA448" s="83"/>
      <c r="AB448" s="33"/>
      <c r="AC448" s="83"/>
      <c r="AD448" s="33"/>
      <c r="AE448" s="83"/>
      <c r="AF448" s="33"/>
      <c r="AG448" s="244"/>
      <c r="AH448" s="83"/>
      <c r="AI448" s="246"/>
      <c r="AJ448" s="102"/>
      <c r="AK448" s="92"/>
      <c r="AL448" s="91"/>
      <c r="AM448" s="92"/>
      <c r="AN448" s="351"/>
      <c r="AO448" s="197">
        <f t="shared" si="27"/>
        <v>0</v>
      </c>
      <c r="AP448" s="91"/>
      <c r="AQ448" s="217"/>
      <c r="AR448" s="103"/>
      <c r="AS448" s="264"/>
      <c r="AT448" s="94"/>
      <c r="AU448" s="84"/>
      <c r="AV448" s="136"/>
      <c r="AW448" s="77"/>
      <c r="AX448" s="137"/>
      <c r="AY448" s="138"/>
      <c r="AZ448" s="220">
        <f t="shared" si="24"/>
        <v>0</v>
      </c>
      <c r="BA448" s="220">
        <f t="shared" si="25"/>
        <v>0</v>
      </c>
    </row>
    <row r="449" spans="1:53" ht="50.1" customHeight="1" x14ac:dyDescent="0.25">
      <c r="A449" s="17">
        <f t="shared" si="26"/>
        <v>435</v>
      </c>
      <c r="B449" s="228"/>
      <c r="C449" s="221"/>
      <c r="D449" s="88"/>
      <c r="E449" s="100"/>
      <c r="F449" s="95"/>
      <c r="G449" s="114"/>
      <c r="H449" s="96"/>
      <c r="I449" s="97"/>
      <c r="J449" s="98"/>
      <c r="K449" s="101"/>
      <c r="L449" s="124"/>
      <c r="M449" s="333"/>
      <c r="N449" s="341"/>
      <c r="O449" s="190"/>
      <c r="P449" s="191"/>
      <c r="Q449" s="190"/>
      <c r="R449" s="191"/>
      <c r="S449" s="294"/>
      <c r="T449" s="300"/>
      <c r="U449" s="306"/>
      <c r="V449" s="308"/>
      <c r="W449" s="248"/>
      <c r="X449" s="342"/>
      <c r="Y449" s="336"/>
      <c r="Z449" s="123"/>
      <c r="AA449" s="33"/>
      <c r="AB449" s="123"/>
      <c r="AC449" s="33"/>
      <c r="AD449" s="123"/>
      <c r="AE449" s="33"/>
      <c r="AF449" s="123"/>
      <c r="AG449" s="243"/>
      <c r="AH449" s="33"/>
      <c r="AI449" s="245"/>
      <c r="AJ449" s="125"/>
      <c r="AK449" s="91"/>
      <c r="AL449" s="126"/>
      <c r="AM449" s="91"/>
      <c r="AN449" s="91"/>
      <c r="AO449" s="197">
        <f t="shared" si="27"/>
        <v>0</v>
      </c>
      <c r="AP449" s="126"/>
      <c r="AQ449" s="216"/>
      <c r="AR449" s="127"/>
      <c r="AS449" s="269"/>
      <c r="AT449" s="94"/>
      <c r="AU449" s="84"/>
      <c r="AV449" s="80"/>
      <c r="AW449" s="81"/>
      <c r="AX449" s="77"/>
      <c r="AY449" s="107"/>
      <c r="AZ449" s="220">
        <f t="shared" si="24"/>
        <v>0</v>
      </c>
      <c r="BA449" s="220">
        <f t="shared" si="25"/>
        <v>0</v>
      </c>
    </row>
    <row r="450" spans="1:53" ht="50.1" customHeight="1" x14ac:dyDescent="0.25">
      <c r="A450" s="17">
        <f t="shared" si="26"/>
        <v>436</v>
      </c>
      <c r="B450" s="229"/>
      <c r="C450" s="222"/>
      <c r="D450" s="112"/>
      <c r="E450" s="128"/>
      <c r="F450" s="129"/>
      <c r="G450" s="130"/>
      <c r="H450" s="131"/>
      <c r="I450" s="132"/>
      <c r="J450" s="189"/>
      <c r="K450" s="133"/>
      <c r="L450" s="134"/>
      <c r="M450" s="334"/>
      <c r="N450" s="343"/>
      <c r="O450" s="194"/>
      <c r="P450" s="190"/>
      <c r="Q450" s="194"/>
      <c r="R450" s="190"/>
      <c r="S450" s="297"/>
      <c r="T450" s="303"/>
      <c r="U450" s="294"/>
      <c r="V450" s="300"/>
      <c r="W450" s="249"/>
      <c r="X450" s="344"/>
      <c r="Y450" s="337"/>
      <c r="Z450" s="33"/>
      <c r="AA450" s="83"/>
      <c r="AB450" s="33"/>
      <c r="AC450" s="83"/>
      <c r="AD450" s="33"/>
      <c r="AE450" s="83"/>
      <c r="AF450" s="33"/>
      <c r="AG450" s="244"/>
      <c r="AH450" s="83"/>
      <c r="AI450" s="246"/>
      <c r="AJ450" s="102"/>
      <c r="AK450" s="92"/>
      <c r="AL450" s="91"/>
      <c r="AM450" s="92"/>
      <c r="AN450" s="351"/>
      <c r="AO450" s="197">
        <f t="shared" si="27"/>
        <v>0</v>
      </c>
      <c r="AP450" s="91"/>
      <c r="AQ450" s="217"/>
      <c r="AR450" s="103"/>
      <c r="AS450" s="264"/>
      <c r="AT450" s="94"/>
      <c r="AU450" s="84"/>
      <c r="AV450" s="136"/>
      <c r="AW450" s="77"/>
      <c r="AX450" s="137"/>
      <c r="AY450" s="138"/>
      <c r="AZ450" s="220">
        <f t="shared" si="24"/>
        <v>0</v>
      </c>
      <c r="BA450" s="220">
        <f t="shared" si="25"/>
        <v>0</v>
      </c>
    </row>
    <row r="451" spans="1:53" ht="50.1" customHeight="1" x14ac:dyDescent="0.25">
      <c r="A451" s="17">
        <f t="shared" si="26"/>
        <v>437</v>
      </c>
      <c r="B451" s="228"/>
      <c r="C451" s="221"/>
      <c r="D451" s="88"/>
      <c r="E451" s="100"/>
      <c r="F451" s="95"/>
      <c r="G451" s="114"/>
      <c r="H451" s="96"/>
      <c r="I451" s="97"/>
      <c r="J451" s="98"/>
      <c r="K451" s="101"/>
      <c r="L451" s="124"/>
      <c r="M451" s="333"/>
      <c r="N451" s="341"/>
      <c r="O451" s="190"/>
      <c r="P451" s="191"/>
      <c r="Q451" s="190"/>
      <c r="R451" s="191"/>
      <c r="S451" s="294"/>
      <c r="T451" s="300"/>
      <c r="U451" s="306"/>
      <c r="V451" s="308"/>
      <c r="W451" s="248"/>
      <c r="X451" s="342"/>
      <c r="Y451" s="336"/>
      <c r="Z451" s="123"/>
      <c r="AA451" s="33"/>
      <c r="AB451" s="123"/>
      <c r="AC451" s="33"/>
      <c r="AD451" s="123"/>
      <c r="AE451" s="33"/>
      <c r="AF451" s="123"/>
      <c r="AG451" s="243"/>
      <c r="AH451" s="33"/>
      <c r="AI451" s="245"/>
      <c r="AJ451" s="125"/>
      <c r="AK451" s="91"/>
      <c r="AL451" s="126"/>
      <c r="AM451" s="91"/>
      <c r="AN451" s="91"/>
      <c r="AO451" s="197">
        <f t="shared" si="27"/>
        <v>0</v>
      </c>
      <c r="AP451" s="126"/>
      <c r="AQ451" s="216"/>
      <c r="AR451" s="127"/>
      <c r="AS451" s="269"/>
      <c r="AT451" s="94"/>
      <c r="AU451" s="84"/>
      <c r="AV451" s="80"/>
      <c r="AW451" s="81"/>
      <c r="AX451" s="77"/>
      <c r="AY451" s="107"/>
      <c r="AZ451" s="220">
        <f t="shared" si="24"/>
        <v>0</v>
      </c>
      <c r="BA451" s="220">
        <f t="shared" si="25"/>
        <v>0</v>
      </c>
    </row>
    <row r="452" spans="1:53" ht="50.1" customHeight="1" x14ac:dyDescent="0.25">
      <c r="A452" s="17">
        <f t="shared" si="26"/>
        <v>438</v>
      </c>
      <c r="B452" s="229"/>
      <c r="C452" s="222"/>
      <c r="D452" s="112"/>
      <c r="E452" s="128"/>
      <c r="F452" s="129"/>
      <c r="G452" s="130"/>
      <c r="H452" s="131"/>
      <c r="I452" s="132"/>
      <c r="J452" s="108"/>
      <c r="K452" s="133"/>
      <c r="L452" s="134"/>
      <c r="M452" s="334"/>
      <c r="N452" s="343"/>
      <c r="O452" s="194"/>
      <c r="P452" s="190"/>
      <c r="Q452" s="194"/>
      <c r="R452" s="190"/>
      <c r="S452" s="297"/>
      <c r="T452" s="303"/>
      <c r="U452" s="294"/>
      <c r="V452" s="300"/>
      <c r="W452" s="249"/>
      <c r="X452" s="344"/>
      <c r="Y452" s="337"/>
      <c r="Z452" s="33"/>
      <c r="AA452" s="83"/>
      <c r="AB452" s="33"/>
      <c r="AC452" s="83"/>
      <c r="AD452" s="33"/>
      <c r="AE452" s="83"/>
      <c r="AF452" s="33"/>
      <c r="AG452" s="244"/>
      <c r="AH452" s="83"/>
      <c r="AI452" s="246"/>
      <c r="AJ452" s="102"/>
      <c r="AK452" s="92"/>
      <c r="AL452" s="91"/>
      <c r="AM452" s="92"/>
      <c r="AN452" s="351"/>
      <c r="AO452" s="197">
        <f t="shared" si="27"/>
        <v>0</v>
      </c>
      <c r="AP452" s="91"/>
      <c r="AQ452" s="217"/>
      <c r="AR452" s="103"/>
      <c r="AS452" s="264"/>
      <c r="AT452" s="94"/>
      <c r="AU452" s="84"/>
      <c r="AV452" s="136"/>
      <c r="AW452" s="77"/>
      <c r="AX452" s="137"/>
      <c r="AY452" s="138"/>
      <c r="AZ452" s="220">
        <f t="shared" si="24"/>
        <v>0</v>
      </c>
      <c r="BA452" s="220">
        <f t="shared" si="25"/>
        <v>0</v>
      </c>
    </row>
    <row r="453" spans="1:53" ht="50.1" customHeight="1" x14ac:dyDescent="0.25">
      <c r="A453" s="17">
        <f t="shared" si="26"/>
        <v>439</v>
      </c>
      <c r="B453" s="228"/>
      <c r="C453" s="221"/>
      <c r="D453" s="88"/>
      <c r="E453" s="100"/>
      <c r="F453" s="95"/>
      <c r="G453" s="114"/>
      <c r="H453" s="96"/>
      <c r="I453" s="97"/>
      <c r="J453" s="98"/>
      <c r="K453" s="101"/>
      <c r="L453" s="124"/>
      <c r="M453" s="333"/>
      <c r="N453" s="341"/>
      <c r="O453" s="190"/>
      <c r="P453" s="191"/>
      <c r="Q453" s="190"/>
      <c r="R453" s="191"/>
      <c r="S453" s="294"/>
      <c r="T453" s="300"/>
      <c r="U453" s="306"/>
      <c r="V453" s="308"/>
      <c r="W453" s="248"/>
      <c r="X453" s="342"/>
      <c r="Y453" s="336"/>
      <c r="Z453" s="123"/>
      <c r="AA453" s="33"/>
      <c r="AB453" s="123"/>
      <c r="AC453" s="33"/>
      <c r="AD453" s="123"/>
      <c r="AE453" s="33"/>
      <c r="AF453" s="123"/>
      <c r="AG453" s="243"/>
      <c r="AH453" s="33"/>
      <c r="AI453" s="245"/>
      <c r="AJ453" s="125"/>
      <c r="AK453" s="91"/>
      <c r="AL453" s="126"/>
      <c r="AM453" s="91"/>
      <c r="AN453" s="91"/>
      <c r="AO453" s="197">
        <f t="shared" si="27"/>
        <v>0</v>
      </c>
      <c r="AP453" s="126"/>
      <c r="AQ453" s="216"/>
      <c r="AR453" s="127"/>
      <c r="AS453" s="269"/>
      <c r="AT453" s="94"/>
      <c r="AU453" s="84"/>
      <c r="AV453" s="80"/>
      <c r="AW453" s="81"/>
      <c r="AX453" s="77"/>
      <c r="AY453" s="107"/>
      <c r="AZ453" s="220">
        <f t="shared" si="24"/>
        <v>0</v>
      </c>
      <c r="BA453" s="220">
        <f t="shared" si="25"/>
        <v>0</v>
      </c>
    </row>
    <row r="454" spans="1:53" ht="50.1" customHeight="1" x14ac:dyDescent="0.25">
      <c r="A454" s="17">
        <f t="shared" si="26"/>
        <v>440</v>
      </c>
      <c r="B454" s="229"/>
      <c r="C454" s="222"/>
      <c r="D454" s="112"/>
      <c r="E454" s="128"/>
      <c r="F454" s="129"/>
      <c r="G454" s="130"/>
      <c r="H454" s="131"/>
      <c r="I454" s="132"/>
      <c r="J454" s="189"/>
      <c r="K454" s="133"/>
      <c r="L454" s="134"/>
      <c r="M454" s="334"/>
      <c r="N454" s="343"/>
      <c r="O454" s="194"/>
      <c r="P454" s="190"/>
      <c r="Q454" s="194"/>
      <c r="R454" s="190"/>
      <c r="S454" s="297"/>
      <c r="T454" s="303"/>
      <c r="U454" s="294"/>
      <c r="V454" s="300"/>
      <c r="W454" s="249"/>
      <c r="X454" s="344"/>
      <c r="Y454" s="337"/>
      <c r="Z454" s="33"/>
      <c r="AA454" s="83"/>
      <c r="AB454" s="33"/>
      <c r="AC454" s="83"/>
      <c r="AD454" s="33"/>
      <c r="AE454" s="83"/>
      <c r="AF454" s="33"/>
      <c r="AG454" s="244"/>
      <c r="AH454" s="83"/>
      <c r="AI454" s="246"/>
      <c r="AJ454" s="102"/>
      <c r="AK454" s="92"/>
      <c r="AL454" s="91"/>
      <c r="AM454" s="92"/>
      <c r="AN454" s="351"/>
      <c r="AO454" s="197">
        <f t="shared" si="27"/>
        <v>0</v>
      </c>
      <c r="AP454" s="91"/>
      <c r="AQ454" s="217"/>
      <c r="AR454" s="103"/>
      <c r="AS454" s="264"/>
      <c r="AT454" s="94"/>
      <c r="AU454" s="84"/>
      <c r="AV454" s="136"/>
      <c r="AW454" s="77"/>
      <c r="AX454" s="137"/>
      <c r="AY454" s="138"/>
      <c r="AZ454" s="220">
        <f t="shared" si="24"/>
        <v>0</v>
      </c>
      <c r="BA454" s="220">
        <f t="shared" si="25"/>
        <v>0</v>
      </c>
    </row>
    <row r="455" spans="1:53" ht="50.1" customHeight="1" x14ac:dyDescent="0.25">
      <c r="A455" s="17">
        <f t="shared" si="26"/>
        <v>441</v>
      </c>
      <c r="B455" s="228"/>
      <c r="C455" s="221"/>
      <c r="D455" s="88"/>
      <c r="E455" s="100"/>
      <c r="F455" s="95"/>
      <c r="G455" s="114"/>
      <c r="H455" s="96"/>
      <c r="I455" s="97"/>
      <c r="J455" s="98"/>
      <c r="K455" s="101"/>
      <c r="L455" s="124"/>
      <c r="M455" s="333"/>
      <c r="N455" s="341"/>
      <c r="O455" s="190"/>
      <c r="P455" s="191"/>
      <c r="Q455" s="190"/>
      <c r="R455" s="191"/>
      <c r="S455" s="294"/>
      <c r="T455" s="300"/>
      <c r="U455" s="306"/>
      <c r="V455" s="308"/>
      <c r="W455" s="248"/>
      <c r="X455" s="342"/>
      <c r="Y455" s="336"/>
      <c r="Z455" s="123"/>
      <c r="AA455" s="33"/>
      <c r="AB455" s="123"/>
      <c r="AC455" s="33"/>
      <c r="AD455" s="123"/>
      <c r="AE455" s="33"/>
      <c r="AF455" s="123"/>
      <c r="AG455" s="243"/>
      <c r="AH455" s="33"/>
      <c r="AI455" s="245"/>
      <c r="AJ455" s="125"/>
      <c r="AK455" s="91"/>
      <c r="AL455" s="126"/>
      <c r="AM455" s="91"/>
      <c r="AN455" s="91"/>
      <c r="AO455" s="197">
        <f t="shared" si="27"/>
        <v>0</v>
      </c>
      <c r="AP455" s="126"/>
      <c r="AQ455" s="216"/>
      <c r="AR455" s="127"/>
      <c r="AS455" s="269"/>
      <c r="AT455" s="94"/>
      <c r="AU455" s="84"/>
      <c r="AV455" s="80"/>
      <c r="AW455" s="81"/>
      <c r="AX455" s="77"/>
      <c r="AY455" s="107"/>
      <c r="AZ455" s="220">
        <f t="shared" si="24"/>
        <v>0</v>
      </c>
      <c r="BA455" s="220">
        <f t="shared" si="25"/>
        <v>0</v>
      </c>
    </row>
    <row r="456" spans="1:53" ht="50.1" customHeight="1" x14ac:dyDescent="0.25">
      <c r="A456" s="17">
        <f t="shared" si="26"/>
        <v>442</v>
      </c>
      <c r="B456" s="229"/>
      <c r="C456" s="222"/>
      <c r="D456" s="112"/>
      <c r="E456" s="128"/>
      <c r="F456" s="129"/>
      <c r="G456" s="130"/>
      <c r="H456" s="131"/>
      <c r="I456" s="132"/>
      <c r="J456" s="108"/>
      <c r="K456" s="133"/>
      <c r="L456" s="134"/>
      <c r="M456" s="334"/>
      <c r="N456" s="343"/>
      <c r="O456" s="194"/>
      <c r="P456" s="190"/>
      <c r="Q456" s="194"/>
      <c r="R456" s="190"/>
      <c r="S456" s="297"/>
      <c r="T456" s="303"/>
      <c r="U456" s="294"/>
      <c r="V456" s="300"/>
      <c r="W456" s="249"/>
      <c r="X456" s="344"/>
      <c r="Y456" s="337"/>
      <c r="Z456" s="33"/>
      <c r="AA456" s="83"/>
      <c r="AB456" s="33"/>
      <c r="AC456" s="83"/>
      <c r="AD456" s="33"/>
      <c r="AE456" s="83"/>
      <c r="AF456" s="33"/>
      <c r="AG456" s="244"/>
      <c r="AH456" s="83"/>
      <c r="AI456" s="246"/>
      <c r="AJ456" s="102"/>
      <c r="AK456" s="92"/>
      <c r="AL456" s="91"/>
      <c r="AM456" s="92"/>
      <c r="AN456" s="351"/>
      <c r="AO456" s="197">
        <f t="shared" si="27"/>
        <v>0</v>
      </c>
      <c r="AP456" s="91"/>
      <c r="AQ456" s="217"/>
      <c r="AR456" s="103"/>
      <c r="AS456" s="264"/>
      <c r="AT456" s="94"/>
      <c r="AU456" s="84"/>
      <c r="AV456" s="136"/>
      <c r="AW456" s="77"/>
      <c r="AX456" s="137"/>
      <c r="AY456" s="138"/>
      <c r="AZ456" s="220">
        <f t="shared" si="24"/>
        <v>0</v>
      </c>
      <c r="BA456" s="220">
        <f t="shared" si="25"/>
        <v>0</v>
      </c>
    </row>
    <row r="457" spans="1:53" ht="50.1" customHeight="1" x14ac:dyDescent="0.25">
      <c r="A457" s="17">
        <f t="shared" si="26"/>
        <v>443</v>
      </c>
      <c r="B457" s="228"/>
      <c r="C457" s="221"/>
      <c r="D457" s="88"/>
      <c r="E457" s="100"/>
      <c r="F457" s="95"/>
      <c r="G457" s="114"/>
      <c r="H457" s="96"/>
      <c r="I457" s="97"/>
      <c r="J457" s="98"/>
      <c r="K457" s="101"/>
      <c r="L457" s="124"/>
      <c r="M457" s="333"/>
      <c r="N457" s="341"/>
      <c r="O457" s="190"/>
      <c r="P457" s="191"/>
      <c r="Q457" s="190"/>
      <c r="R457" s="191"/>
      <c r="S457" s="294"/>
      <c r="T457" s="300"/>
      <c r="U457" s="306"/>
      <c r="V457" s="308"/>
      <c r="W457" s="248"/>
      <c r="X457" s="342"/>
      <c r="Y457" s="336"/>
      <c r="Z457" s="123"/>
      <c r="AA457" s="33"/>
      <c r="AB457" s="123"/>
      <c r="AC457" s="33"/>
      <c r="AD457" s="123"/>
      <c r="AE457" s="33"/>
      <c r="AF457" s="123"/>
      <c r="AG457" s="243"/>
      <c r="AH457" s="33"/>
      <c r="AI457" s="245"/>
      <c r="AJ457" s="125"/>
      <c r="AK457" s="91"/>
      <c r="AL457" s="126"/>
      <c r="AM457" s="91"/>
      <c r="AN457" s="91"/>
      <c r="AO457" s="197">
        <f t="shared" si="27"/>
        <v>0</v>
      </c>
      <c r="AP457" s="126"/>
      <c r="AQ457" s="216"/>
      <c r="AR457" s="127"/>
      <c r="AS457" s="269"/>
      <c r="AT457" s="94"/>
      <c r="AU457" s="84"/>
      <c r="AV457" s="80"/>
      <c r="AW457" s="81"/>
      <c r="AX457" s="77"/>
      <c r="AY457" s="107"/>
      <c r="AZ457" s="220">
        <f t="shared" si="24"/>
        <v>0</v>
      </c>
      <c r="BA457" s="220">
        <f t="shared" si="25"/>
        <v>0</v>
      </c>
    </row>
    <row r="458" spans="1:53" ht="50.1" customHeight="1" x14ac:dyDescent="0.25">
      <c r="A458" s="17">
        <f t="shared" si="26"/>
        <v>444</v>
      </c>
      <c r="B458" s="229"/>
      <c r="C458" s="222"/>
      <c r="D458" s="112"/>
      <c r="E458" s="128"/>
      <c r="F458" s="129"/>
      <c r="G458" s="130"/>
      <c r="H458" s="131"/>
      <c r="I458" s="132"/>
      <c r="J458" s="108"/>
      <c r="K458" s="133"/>
      <c r="L458" s="134"/>
      <c r="M458" s="334"/>
      <c r="N458" s="343"/>
      <c r="O458" s="194"/>
      <c r="P458" s="190"/>
      <c r="Q458" s="194"/>
      <c r="R458" s="190"/>
      <c r="S458" s="297"/>
      <c r="T458" s="303"/>
      <c r="U458" s="294"/>
      <c r="V458" s="300"/>
      <c r="W458" s="249"/>
      <c r="X458" s="344"/>
      <c r="Y458" s="337"/>
      <c r="Z458" s="33"/>
      <c r="AA458" s="83"/>
      <c r="AB458" s="33"/>
      <c r="AC458" s="83"/>
      <c r="AD458" s="33"/>
      <c r="AE458" s="83"/>
      <c r="AF458" s="33"/>
      <c r="AG458" s="244"/>
      <c r="AH458" s="83"/>
      <c r="AI458" s="246"/>
      <c r="AJ458" s="102"/>
      <c r="AK458" s="92"/>
      <c r="AL458" s="91"/>
      <c r="AM458" s="92"/>
      <c r="AN458" s="351"/>
      <c r="AO458" s="197">
        <f t="shared" si="27"/>
        <v>0</v>
      </c>
      <c r="AP458" s="91"/>
      <c r="AQ458" s="217"/>
      <c r="AR458" s="103"/>
      <c r="AS458" s="264"/>
      <c r="AT458" s="94"/>
      <c r="AU458" s="84"/>
      <c r="AV458" s="136"/>
      <c r="AW458" s="77"/>
      <c r="AX458" s="137"/>
      <c r="AY458" s="138"/>
      <c r="AZ458" s="220">
        <f t="shared" si="24"/>
        <v>0</v>
      </c>
      <c r="BA458" s="220">
        <f t="shared" si="25"/>
        <v>0</v>
      </c>
    </row>
    <row r="459" spans="1:53" ht="50.1" customHeight="1" x14ac:dyDescent="0.25">
      <c r="A459" s="17">
        <f t="shared" si="26"/>
        <v>445</v>
      </c>
      <c r="B459" s="228"/>
      <c r="C459" s="221"/>
      <c r="D459" s="88"/>
      <c r="E459" s="100"/>
      <c r="F459" s="95"/>
      <c r="G459" s="114"/>
      <c r="H459" s="96"/>
      <c r="I459" s="97"/>
      <c r="J459" s="98"/>
      <c r="K459" s="101"/>
      <c r="L459" s="124"/>
      <c r="M459" s="333"/>
      <c r="N459" s="341"/>
      <c r="O459" s="190"/>
      <c r="P459" s="191"/>
      <c r="Q459" s="190"/>
      <c r="R459" s="191"/>
      <c r="S459" s="294"/>
      <c r="T459" s="300"/>
      <c r="U459" s="306"/>
      <c r="V459" s="308"/>
      <c r="W459" s="248"/>
      <c r="X459" s="342"/>
      <c r="Y459" s="336"/>
      <c r="Z459" s="123"/>
      <c r="AA459" s="33"/>
      <c r="AB459" s="123"/>
      <c r="AC459" s="33"/>
      <c r="AD459" s="123"/>
      <c r="AE459" s="33"/>
      <c r="AF459" s="123"/>
      <c r="AG459" s="243"/>
      <c r="AH459" s="33"/>
      <c r="AI459" s="245"/>
      <c r="AJ459" s="125"/>
      <c r="AK459" s="91"/>
      <c r="AL459" s="126"/>
      <c r="AM459" s="91"/>
      <c r="AN459" s="91"/>
      <c r="AO459" s="197">
        <f t="shared" si="27"/>
        <v>0</v>
      </c>
      <c r="AP459" s="126"/>
      <c r="AQ459" s="216"/>
      <c r="AR459" s="127"/>
      <c r="AS459" s="269"/>
      <c r="AT459" s="94"/>
      <c r="AU459" s="84"/>
      <c r="AV459" s="80"/>
      <c r="AW459" s="81"/>
      <c r="AX459" s="77"/>
      <c r="AY459" s="107"/>
      <c r="AZ459" s="220">
        <f t="shared" si="24"/>
        <v>0</v>
      </c>
      <c r="BA459" s="220">
        <f t="shared" si="25"/>
        <v>0</v>
      </c>
    </row>
    <row r="460" spans="1:53" ht="50.1" customHeight="1" x14ac:dyDescent="0.25">
      <c r="A460" s="17">
        <f t="shared" si="26"/>
        <v>446</v>
      </c>
      <c r="B460" s="229"/>
      <c r="C460" s="222"/>
      <c r="D460" s="112"/>
      <c r="E460" s="128"/>
      <c r="F460" s="129"/>
      <c r="G460" s="130"/>
      <c r="H460" s="131"/>
      <c r="I460" s="132"/>
      <c r="J460" s="108"/>
      <c r="K460" s="133"/>
      <c r="L460" s="134"/>
      <c r="M460" s="334"/>
      <c r="N460" s="343"/>
      <c r="O460" s="194"/>
      <c r="P460" s="190"/>
      <c r="Q460" s="194"/>
      <c r="R460" s="190"/>
      <c r="S460" s="297"/>
      <c r="T460" s="303"/>
      <c r="U460" s="294"/>
      <c r="V460" s="300"/>
      <c r="W460" s="249"/>
      <c r="X460" s="344"/>
      <c r="Y460" s="337"/>
      <c r="Z460" s="33"/>
      <c r="AA460" s="83"/>
      <c r="AB460" s="33"/>
      <c r="AC460" s="83"/>
      <c r="AD460" s="33"/>
      <c r="AE460" s="83"/>
      <c r="AF460" s="33"/>
      <c r="AG460" s="244"/>
      <c r="AH460" s="83"/>
      <c r="AI460" s="246"/>
      <c r="AJ460" s="102"/>
      <c r="AK460" s="92"/>
      <c r="AL460" s="91"/>
      <c r="AM460" s="92"/>
      <c r="AN460" s="351"/>
      <c r="AO460" s="197">
        <f t="shared" si="27"/>
        <v>0</v>
      </c>
      <c r="AP460" s="91"/>
      <c r="AQ460" s="217"/>
      <c r="AR460" s="103"/>
      <c r="AS460" s="264"/>
      <c r="AT460" s="94"/>
      <c r="AU460" s="84"/>
      <c r="AV460" s="136"/>
      <c r="AW460" s="77"/>
      <c r="AX460" s="137"/>
      <c r="AY460" s="138"/>
      <c r="AZ460" s="220">
        <f t="shared" si="24"/>
        <v>0</v>
      </c>
      <c r="BA460" s="220">
        <f t="shared" si="25"/>
        <v>0</v>
      </c>
    </row>
    <row r="461" spans="1:53" ht="50.1" customHeight="1" x14ac:dyDescent="0.25">
      <c r="A461" s="17">
        <f t="shared" si="26"/>
        <v>447</v>
      </c>
      <c r="B461" s="228"/>
      <c r="C461" s="221"/>
      <c r="D461" s="88"/>
      <c r="E461" s="100"/>
      <c r="F461" s="95"/>
      <c r="G461" s="114"/>
      <c r="H461" s="96"/>
      <c r="I461" s="97"/>
      <c r="J461" s="98"/>
      <c r="K461" s="101"/>
      <c r="L461" s="124"/>
      <c r="M461" s="333"/>
      <c r="N461" s="341"/>
      <c r="O461" s="190"/>
      <c r="P461" s="191"/>
      <c r="Q461" s="190"/>
      <c r="R461" s="191"/>
      <c r="S461" s="294"/>
      <c r="T461" s="300"/>
      <c r="U461" s="306"/>
      <c r="V461" s="308"/>
      <c r="W461" s="248"/>
      <c r="X461" s="342"/>
      <c r="Y461" s="336"/>
      <c r="Z461" s="123"/>
      <c r="AA461" s="33"/>
      <c r="AB461" s="123"/>
      <c r="AC461" s="33"/>
      <c r="AD461" s="123"/>
      <c r="AE461" s="33"/>
      <c r="AF461" s="123"/>
      <c r="AG461" s="243"/>
      <c r="AH461" s="33"/>
      <c r="AI461" s="245"/>
      <c r="AJ461" s="125"/>
      <c r="AK461" s="91"/>
      <c r="AL461" s="126"/>
      <c r="AM461" s="91"/>
      <c r="AN461" s="91"/>
      <c r="AO461" s="197">
        <f t="shared" si="27"/>
        <v>0</v>
      </c>
      <c r="AP461" s="126"/>
      <c r="AQ461" s="216"/>
      <c r="AR461" s="127"/>
      <c r="AS461" s="269"/>
      <c r="AT461" s="94"/>
      <c r="AU461" s="84"/>
      <c r="AV461" s="80"/>
      <c r="AW461" s="81"/>
      <c r="AX461" s="77"/>
      <c r="AY461" s="107"/>
      <c r="AZ461" s="220">
        <f t="shared" si="24"/>
        <v>0</v>
      </c>
      <c r="BA461" s="220">
        <f t="shared" si="25"/>
        <v>0</v>
      </c>
    </row>
    <row r="462" spans="1:53" ht="50.1" customHeight="1" x14ac:dyDescent="0.25">
      <c r="A462" s="17">
        <f t="shared" si="26"/>
        <v>448</v>
      </c>
      <c r="B462" s="229"/>
      <c r="C462" s="222"/>
      <c r="D462" s="112"/>
      <c r="E462" s="128"/>
      <c r="F462" s="129"/>
      <c r="G462" s="130"/>
      <c r="H462" s="131"/>
      <c r="I462" s="132"/>
      <c r="J462" s="108"/>
      <c r="K462" s="133"/>
      <c r="L462" s="134"/>
      <c r="M462" s="334"/>
      <c r="N462" s="343"/>
      <c r="O462" s="194"/>
      <c r="P462" s="190"/>
      <c r="Q462" s="194"/>
      <c r="R462" s="190"/>
      <c r="S462" s="297"/>
      <c r="T462" s="303"/>
      <c r="U462" s="294"/>
      <c r="V462" s="300"/>
      <c r="W462" s="249"/>
      <c r="X462" s="344"/>
      <c r="Y462" s="337"/>
      <c r="Z462" s="33"/>
      <c r="AA462" s="83"/>
      <c r="AB462" s="33"/>
      <c r="AC462" s="83"/>
      <c r="AD462" s="33"/>
      <c r="AE462" s="83"/>
      <c r="AF462" s="33"/>
      <c r="AG462" s="244"/>
      <c r="AH462" s="83"/>
      <c r="AI462" s="246"/>
      <c r="AJ462" s="102"/>
      <c r="AK462" s="92"/>
      <c r="AL462" s="91"/>
      <c r="AM462" s="92"/>
      <c r="AN462" s="351"/>
      <c r="AO462" s="197">
        <f t="shared" si="27"/>
        <v>0</v>
      </c>
      <c r="AP462" s="91"/>
      <c r="AQ462" s="217"/>
      <c r="AR462" s="103"/>
      <c r="AS462" s="264"/>
      <c r="AT462" s="94"/>
      <c r="AU462" s="84"/>
      <c r="AV462" s="136"/>
      <c r="AW462" s="77"/>
      <c r="AX462" s="137"/>
      <c r="AY462" s="138"/>
      <c r="AZ462" s="220">
        <f t="shared" si="24"/>
        <v>0</v>
      </c>
      <c r="BA462" s="220">
        <f t="shared" si="25"/>
        <v>0</v>
      </c>
    </row>
    <row r="463" spans="1:53" ht="50.1" customHeight="1" x14ac:dyDescent="0.25">
      <c r="A463" s="17">
        <f t="shared" si="26"/>
        <v>449</v>
      </c>
      <c r="B463" s="228"/>
      <c r="C463" s="221"/>
      <c r="D463" s="88"/>
      <c r="E463" s="100"/>
      <c r="F463" s="95"/>
      <c r="G463" s="114"/>
      <c r="H463" s="96"/>
      <c r="I463" s="97"/>
      <c r="J463" s="98"/>
      <c r="K463" s="101"/>
      <c r="L463" s="124"/>
      <c r="M463" s="333"/>
      <c r="N463" s="341"/>
      <c r="O463" s="190"/>
      <c r="P463" s="191"/>
      <c r="Q463" s="190"/>
      <c r="R463" s="191"/>
      <c r="S463" s="294"/>
      <c r="T463" s="300"/>
      <c r="U463" s="306"/>
      <c r="V463" s="308"/>
      <c r="W463" s="248"/>
      <c r="X463" s="342"/>
      <c r="Y463" s="336"/>
      <c r="Z463" s="123"/>
      <c r="AA463" s="33"/>
      <c r="AB463" s="123"/>
      <c r="AC463" s="33"/>
      <c r="AD463" s="123"/>
      <c r="AE463" s="33"/>
      <c r="AF463" s="123"/>
      <c r="AG463" s="243"/>
      <c r="AH463" s="33"/>
      <c r="AI463" s="245"/>
      <c r="AJ463" s="125"/>
      <c r="AK463" s="91"/>
      <c r="AL463" s="126"/>
      <c r="AM463" s="91"/>
      <c r="AN463" s="91"/>
      <c r="AO463" s="197">
        <f t="shared" si="27"/>
        <v>0</v>
      </c>
      <c r="AP463" s="126"/>
      <c r="AQ463" s="216"/>
      <c r="AR463" s="127"/>
      <c r="AS463" s="269"/>
      <c r="AT463" s="94"/>
      <c r="AU463" s="84"/>
      <c r="AV463" s="80"/>
      <c r="AW463" s="81"/>
      <c r="AX463" s="77"/>
      <c r="AY463" s="107"/>
      <c r="AZ463" s="220">
        <f t="shared" ref="AZ463:AZ526" si="28">M463-B463</f>
        <v>0</v>
      </c>
      <c r="BA463" s="220">
        <f t="shared" ref="BA463:BA526" si="29">AU463-M463</f>
        <v>0</v>
      </c>
    </row>
    <row r="464" spans="1:53" ht="50.1" customHeight="1" x14ac:dyDescent="0.25">
      <c r="A464" s="17">
        <f t="shared" ref="A464:A527" si="30">ROW(A450)</f>
        <v>450</v>
      </c>
      <c r="B464" s="229"/>
      <c r="C464" s="222"/>
      <c r="D464" s="112"/>
      <c r="E464" s="128"/>
      <c r="F464" s="129"/>
      <c r="G464" s="130"/>
      <c r="H464" s="131"/>
      <c r="I464" s="132"/>
      <c r="J464" s="108"/>
      <c r="K464" s="133"/>
      <c r="L464" s="134"/>
      <c r="M464" s="334"/>
      <c r="N464" s="343"/>
      <c r="O464" s="194"/>
      <c r="P464" s="190"/>
      <c r="Q464" s="194"/>
      <c r="R464" s="190"/>
      <c r="S464" s="297"/>
      <c r="T464" s="303"/>
      <c r="U464" s="294"/>
      <c r="V464" s="300"/>
      <c r="W464" s="249"/>
      <c r="X464" s="344"/>
      <c r="Y464" s="337"/>
      <c r="Z464" s="33"/>
      <c r="AA464" s="83"/>
      <c r="AB464" s="33"/>
      <c r="AC464" s="83"/>
      <c r="AD464" s="33"/>
      <c r="AE464" s="83"/>
      <c r="AF464" s="33"/>
      <c r="AG464" s="244"/>
      <c r="AH464" s="83"/>
      <c r="AI464" s="246"/>
      <c r="AJ464" s="102"/>
      <c r="AK464" s="92"/>
      <c r="AL464" s="91"/>
      <c r="AM464" s="92"/>
      <c r="AN464" s="351"/>
      <c r="AO464" s="197">
        <f t="shared" ref="AO464:AO527" si="31">AJ464-AK464-AL464-AM464-AN464</f>
        <v>0</v>
      </c>
      <c r="AP464" s="91"/>
      <c r="AQ464" s="217"/>
      <c r="AR464" s="103"/>
      <c r="AS464" s="264"/>
      <c r="AT464" s="94"/>
      <c r="AU464" s="84"/>
      <c r="AV464" s="136"/>
      <c r="AW464" s="77"/>
      <c r="AX464" s="137"/>
      <c r="AY464" s="138"/>
      <c r="AZ464" s="220">
        <f t="shared" si="28"/>
        <v>0</v>
      </c>
      <c r="BA464" s="220">
        <f t="shared" si="29"/>
        <v>0</v>
      </c>
    </row>
    <row r="465" spans="1:53" ht="50.1" customHeight="1" x14ac:dyDescent="0.25">
      <c r="A465" s="17">
        <f t="shared" si="30"/>
        <v>451</v>
      </c>
      <c r="B465" s="228"/>
      <c r="C465" s="221"/>
      <c r="D465" s="88"/>
      <c r="E465" s="100"/>
      <c r="F465" s="95"/>
      <c r="G465" s="114"/>
      <c r="H465" s="96"/>
      <c r="I465" s="97"/>
      <c r="J465" s="98"/>
      <c r="K465" s="101"/>
      <c r="L465" s="124"/>
      <c r="M465" s="333"/>
      <c r="N465" s="341"/>
      <c r="O465" s="190"/>
      <c r="P465" s="191"/>
      <c r="Q465" s="190"/>
      <c r="R465" s="191"/>
      <c r="S465" s="294"/>
      <c r="T465" s="300"/>
      <c r="U465" s="306"/>
      <c r="V465" s="308"/>
      <c r="W465" s="248"/>
      <c r="X465" s="342"/>
      <c r="Y465" s="336"/>
      <c r="Z465" s="123"/>
      <c r="AA465" s="33"/>
      <c r="AB465" s="123"/>
      <c r="AC465" s="33"/>
      <c r="AD465" s="123"/>
      <c r="AE465" s="33"/>
      <c r="AF465" s="123"/>
      <c r="AG465" s="243"/>
      <c r="AH465" s="33"/>
      <c r="AI465" s="245"/>
      <c r="AJ465" s="125"/>
      <c r="AK465" s="91"/>
      <c r="AL465" s="126"/>
      <c r="AM465" s="91"/>
      <c r="AN465" s="91"/>
      <c r="AO465" s="197">
        <f t="shared" si="31"/>
        <v>0</v>
      </c>
      <c r="AP465" s="126"/>
      <c r="AQ465" s="216"/>
      <c r="AR465" s="127"/>
      <c r="AS465" s="269"/>
      <c r="AT465" s="94"/>
      <c r="AU465" s="84"/>
      <c r="AV465" s="80"/>
      <c r="AW465" s="81"/>
      <c r="AX465" s="77"/>
      <c r="AY465" s="107"/>
      <c r="AZ465" s="220">
        <f t="shared" si="28"/>
        <v>0</v>
      </c>
      <c r="BA465" s="220">
        <f t="shared" si="29"/>
        <v>0</v>
      </c>
    </row>
    <row r="466" spans="1:53" ht="50.1" customHeight="1" x14ac:dyDescent="0.25">
      <c r="A466" s="17">
        <f t="shared" si="30"/>
        <v>452</v>
      </c>
      <c r="B466" s="229"/>
      <c r="C466" s="222"/>
      <c r="D466" s="112"/>
      <c r="E466" s="128"/>
      <c r="F466" s="129"/>
      <c r="G466" s="130"/>
      <c r="H466" s="131"/>
      <c r="I466" s="132"/>
      <c r="J466" s="108"/>
      <c r="K466" s="133"/>
      <c r="L466" s="134"/>
      <c r="M466" s="334"/>
      <c r="N466" s="343"/>
      <c r="O466" s="194"/>
      <c r="P466" s="190"/>
      <c r="Q466" s="194"/>
      <c r="R466" s="190"/>
      <c r="S466" s="297"/>
      <c r="T466" s="303"/>
      <c r="U466" s="294"/>
      <c r="V466" s="300"/>
      <c r="W466" s="249"/>
      <c r="X466" s="344"/>
      <c r="Y466" s="337"/>
      <c r="Z466" s="33"/>
      <c r="AA466" s="83"/>
      <c r="AB466" s="33"/>
      <c r="AC466" s="83"/>
      <c r="AD466" s="33"/>
      <c r="AE466" s="83"/>
      <c r="AF466" s="33"/>
      <c r="AG466" s="244"/>
      <c r="AH466" s="83"/>
      <c r="AI466" s="246"/>
      <c r="AJ466" s="102"/>
      <c r="AK466" s="92"/>
      <c r="AL466" s="91"/>
      <c r="AM466" s="92"/>
      <c r="AN466" s="351"/>
      <c r="AO466" s="197">
        <f t="shared" si="31"/>
        <v>0</v>
      </c>
      <c r="AP466" s="91"/>
      <c r="AQ466" s="217"/>
      <c r="AR466" s="103"/>
      <c r="AS466" s="264"/>
      <c r="AT466" s="94"/>
      <c r="AU466" s="84"/>
      <c r="AV466" s="136"/>
      <c r="AW466" s="77"/>
      <c r="AX466" s="137"/>
      <c r="AY466" s="138"/>
      <c r="AZ466" s="220">
        <f t="shared" si="28"/>
        <v>0</v>
      </c>
      <c r="BA466" s="220">
        <f t="shared" si="29"/>
        <v>0</v>
      </c>
    </row>
    <row r="467" spans="1:53" ht="50.1" customHeight="1" x14ac:dyDescent="0.25">
      <c r="A467" s="17">
        <f t="shared" si="30"/>
        <v>453</v>
      </c>
      <c r="B467" s="228"/>
      <c r="C467" s="221"/>
      <c r="D467" s="88"/>
      <c r="E467" s="100"/>
      <c r="F467" s="95"/>
      <c r="G467" s="114"/>
      <c r="H467" s="96"/>
      <c r="I467" s="97"/>
      <c r="J467" s="98"/>
      <c r="K467" s="101"/>
      <c r="L467" s="124"/>
      <c r="M467" s="333"/>
      <c r="N467" s="341"/>
      <c r="O467" s="190"/>
      <c r="P467" s="191"/>
      <c r="Q467" s="190"/>
      <c r="R467" s="191"/>
      <c r="S467" s="294"/>
      <c r="T467" s="300"/>
      <c r="U467" s="306"/>
      <c r="V467" s="308"/>
      <c r="W467" s="248"/>
      <c r="X467" s="342"/>
      <c r="Y467" s="336"/>
      <c r="Z467" s="123"/>
      <c r="AA467" s="33"/>
      <c r="AB467" s="123"/>
      <c r="AC467" s="33"/>
      <c r="AD467" s="123"/>
      <c r="AE467" s="33"/>
      <c r="AF467" s="123"/>
      <c r="AG467" s="243"/>
      <c r="AH467" s="33"/>
      <c r="AI467" s="245"/>
      <c r="AJ467" s="125"/>
      <c r="AK467" s="91"/>
      <c r="AL467" s="126"/>
      <c r="AM467" s="91"/>
      <c r="AN467" s="91"/>
      <c r="AO467" s="197">
        <f t="shared" si="31"/>
        <v>0</v>
      </c>
      <c r="AP467" s="126"/>
      <c r="AQ467" s="216"/>
      <c r="AR467" s="127"/>
      <c r="AS467" s="269"/>
      <c r="AT467" s="94"/>
      <c r="AU467" s="84"/>
      <c r="AV467" s="80"/>
      <c r="AW467" s="81"/>
      <c r="AX467" s="77"/>
      <c r="AY467" s="107"/>
      <c r="AZ467" s="220">
        <f t="shared" si="28"/>
        <v>0</v>
      </c>
      <c r="BA467" s="220">
        <f t="shared" si="29"/>
        <v>0</v>
      </c>
    </row>
    <row r="468" spans="1:53" ht="50.1" customHeight="1" x14ac:dyDescent="0.25">
      <c r="A468" s="17">
        <f t="shared" si="30"/>
        <v>454</v>
      </c>
      <c r="B468" s="229"/>
      <c r="C468" s="222"/>
      <c r="D468" s="112"/>
      <c r="E468" s="128"/>
      <c r="F468" s="129"/>
      <c r="G468" s="130"/>
      <c r="H468" s="131"/>
      <c r="I468" s="132"/>
      <c r="J468" s="108"/>
      <c r="K468" s="133"/>
      <c r="L468" s="134"/>
      <c r="M468" s="334"/>
      <c r="N468" s="343"/>
      <c r="O468" s="194"/>
      <c r="P468" s="190"/>
      <c r="Q468" s="194"/>
      <c r="R468" s="190"/>
      <c r="S468" s="297"/>
      <c r="T468" s="303"/>
      <c r="U468" s="294"/>
      <c r="V468" s="300"/>
      <c r="W468" s="249"/>
      <c r="X468" s="344"/>
      <c r="Y468" s="337"/>
      <c r="Z468" s="33"/>
      <c r="AA468" s="83"/>
      <c r="AB468" s="33"/>
      <c r="AC468" s="83"/>
      <c r="AD468" s="33"/>
      <c r="AE468" s="83"/>
      <c r="AF468" s="33"/>
      <c r="AG468" s="244"/>
      <c r="AH468" s="83"/>
      <c r="AI468" s="246"/>
      <c r="AJ468" s="102"/>
      <c r="AK468" s="92"/>
      <c r="AL468" s="91"/>
      <c r="AM468" s="92"/>
      <c r="AN468" s="351"/>
      <c r="AO468" s="197">
        <f t="shared" si="31"/>
        <v>0</v>
      </c>
      <c r="AP468" s="91"/>
      <c r="AQ468" s="217"/>
      <c r="AR468" s="103"/>
      <c r="AS468" s="264"/>
      <c r="AT468" s="94"/>
      <c r="AU468" s="84"/>
      <c r="AV468" s="136"/>
      <c r="AW468" s="77"/>
      <c r="AX468" s="137"/>
      <c r="AY468" s="138"/>
      <c r="AZ468" s="220">
        <f t="shared" si="28"/>
        <v>0</v>
      </c>
      <c r="BA468" s="220">
        <f t="shared" si="29"/>
        <v>0</v>
      </c>
    </row>
    <row r="469" spans="1:53" ht="50.1" customHeight="1" x14ac:dyDescent="0.25">
      <c r="A469" s="17">
        <f t="shared" si="30"/>
        <v>455</v>
      </c>
      <c r="B469" s="228"/>
      <c r="C469" s="221"/>
      <c r="D469" s="88"/>
      <c r="E469" s="100"/>
      <c r="F469" s="95"/>
      <c r="G469" s="114"/>
      <c r="H469" s="96"/>
      <c r="I469" s="97"/>
      <c r="J469" s="98"/>
      <c r="K469" s="101"/>
      <c r="L469" s="124"/>
      <c r="M469" s="333"/>
      <c r="N469" s="341"/>
      <c r="O469" s="190"/>
      <c r="P469" s="191"/>
      <c r="Q469" s="190"/>
      <c r="R469" s="191"/>
      <c r="S469" s="294"/>
      <c r="T469" s="300"/>
      <c r="U469" s="306"/>
      <c r="V469" s="308"/>
      <c r="W469" s="248"/>
      <c r="X469" s="342"/>
      <c r="Y469" s="336"/>
      <c r="Z469" s="123"/>
      <c r="AA469" s="33"/>
      <c r="AB469" s="123"/>
      <c r="AC469" s="33"/>
      <c r="AD469" s="123"/>
      <c r="AE469" s="33"/>
      <c r="AF469" s="123"/>
      <c r="AG469" s="243"/>
      <c r="AH469" s="33"/>
      <c r="AI469" s="245"/>
      <c r="AJ469" s="125"/>
      <c r="AK469" s="91"/>
      <c r="AL469" s="126"/>
      <c r="AM469" s="91"/>
      <c r="AN469" s="91"/>
      <c r="AO469" s="197">
        <f t="shared" si="31"/>
        <v>0</v>
      </c>
      <c r="AP469" s="126"/>
      <c r="AQ469" s="216"/>
      <c r="AR469" s="127"/>
      <c r="AS469" s="269"/>
      <c r="AT469" s="94"/>
      <c r="AU469" s="84"/>
      <c r="AV469" s="80"/>
      <c r="AW469" s="81"/>
      <c r="AX469" s="77"/>
      <c r="AY469" s="107"/>
      <c r="AZ469" s="220">
        <f t="shared" si="28"/>
        <v>0</v>
      </c>
      <c r="BA469" s="220">
        <f t="shared" si="29"/>
        <v>0</v>
      </c>
    </row>
    <row r="470" spans="1:53" ht="50.1" customHeight="1" x14ac:dyDescent="0.25">
      <c r="A470" s="17">
        <f t="shared" si="30"/>
        <v>456</v>
      </c>
      <c r="B470" s="229"/>
      <c r="C470" s="222"/>
      <c r="D470" s="112"/>
      <c r="E470" s="128"/>
      <c r="F470" s="129"/>
      <c r="G470" s="130"/>
      <c r="H470" s="131"/>
      <c r="I470" s="132"/>
      <c r="J470" s="108"/>
      <c r="K470" s="133"/>
      <c r="L470" s="134"/>
      <c r="M470" s="334"/>
      <c r="N470" s="343"/>
      <c r="O470" s="194"/>
      <c r="P470" s="190"/>
      <c r="Q470" s="194"/>
      <c r="R470" s="190"/>
      <c r="S470" s="297"/>
      <c r="T470" s="303"/>
      <c r="U470" s="294"/>
      <c r="V470" s="300"/>
      <c r="W470" s="249"/>
      <c r="X470" s="344"/>
      <c r="Y470" s="337"/>
      <c r="Z470" s="33"/>
      <c r="AA470" s="83"/>
      <c r="AB470" s="33"/>
      <c r="AC470" s="83"/>
      <c r="AD470" s="33"/>
      <c r="AE470" s="83"/>
      <c r="AF470" s="33"/>
      <c r="AG470" s="244"/>
      <c r="AH470" s="83"/>
      <c r="AI470" s="246"/>
      <c r="AJ470" s="102"/>
      <c r="AK470" s="92"/>
      <c r="AL470" s="91"/>
      <c r="AM470" s="92"/>
      <c r="AN470" s="351"/>
      <c r="AO470" s="197">
        <f t="shared" si="31"/>
        <v>0</v>
      </c>
      <c r="AP470" s="91"/>
      <c r="AQ470" s="217"/>
      <c r="AR470" s="103"/>
      <c r="AS470" s="264"/>
      <c r="AT470" s="94"/>
      <c r="AU470" s="84"/>
      <c r="AV470" s="136"/>
      <c r="AW470" s="77"/>
      <c r="AX470" s="137"/>
      <c r="AY470" s="138"/>
      <c r="AZ470" s="220">
        <f t="shared" si="28"/>
        <v>0</v>
      </c>
      <c r="BA470" s="220">
        <f t="shared" si="29"/>
        <v>0</v>
      </c>
    </row>
    <row r="471" spans="1:53" ht="50.1" customHeight="1" x14ac:dyDescent="0.25">
      <c r="A471" s="17">
        <f t="shared" si="30"/>
        <v>457</v>
      </c>
      <c r="B471" s="228"/>
      <c r="C471" s="221"/>
      <c r="D471" s="88"/>
      <c r="E471" s="100"/>
      <c r="F471" s="95"/>
      <c r="G471" s="114"/>
      <c r="H471" s="96"/>
      <c r="I471" s="97"/>
      <c r="J471" s="98"/>
      <c r="K471" s="101"/>
      <c r="L471" s="124"/>
      <c r="M471" s="333"/>
      <c r="N471" s="341"/>
      <c r="O471" s="190"/>
      <c r="P471" s="191"/>
      <c r="Q471" s="190"/>
      <c r="R471" s="191"/>
      <c r="S471" s="294"/>
      <c r="T471" s="300"/>
      <c r="U471" s="306"/>
      <c r="V471" s="308"/>
      <c r="W471" s="248"/>
      <c r="X471" s="342"/>
      <c r="Y471" s="336"/>
      <c r="Z471" s="123"/>
      <c r="AA471" s="33"/>
      <c r="AB471" s="123"/>
      <c r="AC471" s="33"/>
      <c r="AD471" s="123"/>
      <c r="AE471" s="33"/>
      <c r="AF471" s="123"/>
      <c r="AG471" s="243"/>
      <c r="AH471" s="33"/>
      <c r="AI471" s="245"/>
      <c r="AJ471" s="125"/>
      <c r="AK471" s="91"/>
      <c r="AL471" s="126"/>
      <c r="AM471" s="91"/>
      <c r="AN471" s="91"/>
      <c r="AO471" s="197">
        <f t="shared" si="31"/>
        <v>0</v>
      </c>
      <c r="AP471" s="126"/>
      <c r="AQ471" s="216"/>
      <c r="AR471" s="127"/>
      <c r="AS471" s="269"/>
      <c r="AT471" s="94"/>
      <c r="AU471" s="84"/>
      <c r="AV471" s="80"/>
      <c r="AW471" s="81"/>
      <c r="AX471" s="77"/>
      <c r="AY471" s="107"/>
      <c r="AZ471" s="220">
        <f t="shared" si="28"/>
        <v>0</v>
      </c>
      <c r="BA471" s="220">
        <f t="shared" si="29"/>
        <v>0</v>
      </c>
    </row>
    <row r="472" spans="1:53" ht="50.1" customHeight="1" x14ac:dyDescent="0.25">
      <c r="A472" s="17">
        <f t="shared" si="30"/>
        <v>458</v>
      </c>
      <c r="B472" s="229"/>
      <c r="C472" s="222"/>
      <c r="D472" s="112"/>
      <c r="E472" s="128"/>
      <c r="F472" s="129"/>
      <c r="G472" s="130"/>
      <c r="H472" s="131"/>
      <c r="I472" s="132"/>
      <c r="J472" s="108"/>
      <c r="K472" s="133"/>
      <c r="L472" s="134"/>
      <c r="M472" s="334"/>
      <c r="N472" s="343"/>
      <c r="O472" s="194"/>
      <c r="P472" s="190"/>
      <c r="Q472" s="194"/>
      <c r="R472" s="190"/>
      <c r="S472" s="297"/>
      <c r="T472" s="303"/>
      <c r="U472" s="294"/>
      <c r="V472" s="300"/>
      <c r="W472" s="249"/>
      <c r="X472" s="344"/>
      <c r="Y472" s="337"/>
      <c r="Z472" s="33"/>
      <c r="AA472" s="83"/>
      <c r="AB472" s="33"/>
      <c r="AC472" s="83"/>
      <c r="AD472" s="33"/>
      <c r="AE472" s="83"/>
      <c r="AF472" s="33"/>
      <c r="AG472" s="244"/>
      <c r="AH472" s="83"/>
      <c r="AI472" s="246"/>
      <c r="AJ472" s="102"/>
      <c r="AK472" s="92"/>
      <c r="AL472" s="91"/>
      <c r="AM472" s="92"/>
      <c r="AN472" s="351"/>
      <c r="AO472" s="197">
        <f t="shared" si="31"/>
        <v>0</v>
      </c>
      <c r="AP472" s="91"/>
      <c r="AQ472" s="217"/>
      <c r="AR472" s="103"/>
      <c r="AS472" s="264"/>
      <c r="AT472" s="94"/>
      <c r="AU472" s="84"/>
      <c r="AV472" s="136"/>
      <c r="AW472" s="77"/>
      <c r="AX472" s="137"/>
      <c r="AY472" s="138"/>
      <c r="AZ472" s="220">
        <f t="shared" si="28"/>
        <v>0</v>
      </c>
      <c r="BA472" s="220">
        <f t="shared" si="29"/>
        <v>0</v>
      </c>
    </row>
    <row r="473" spans="1:53" ht="50.1" customHeight="1" x14ac:dyDescent="0.25">
      <c r="A473" s="17">
        <f t="shared" si="30"/>
        <v>459</v>
      </c>
      <c r="B473" s="228"/>
      <c r="C473" s="221"/>
      <c r="D473" s="88"/>
      <c r="E473" s="100"/>
      <c r="F473" s="95"/>
      <c r="G473" s="114"/>
      <c r="H473" s="96"/>
      <c r="I473" s="97"/>
      <c r="J473" s="98"/>
      <c r="K473" s="101"/>
      <c r="L473" s="124"/>
      <c r="M473" s="333"/>
      <c r="N473" s="341"/>
      <c r="O473" s="190"/>
      <c r="P473" s="191"/>
      <c r="Q473" s="190"/>
      <c r="R473" s="191"/>
      <c r="S473" s="294"/>
      <c r="T473" s="300"/>
      <c r="U473" s="306"/>
      <c r="V473" s="308"/>
      <c r="W473" s="248"/>
      <c r="X473" s="342"/>
      <c r="Y473" s="336"/>
      <c r="Z473" s="123"/>
      <c r="AA473" s="33"/>
      <c r="AB473" s="123"/>
      <c r="AC473" s="33"/>
      <c r="AD473" s="123"/>
      <c r="AE473" s="33"/>
      <c r="AF473" s="123"/>
      <c r="AG473" s="243"/>
      <c r="AH473" s="33"/>
      <c r="AI473" s="245"/>
      <c r="AJ473" s="125"/>
      <c r="AK473" s="91"/>
      <c r="AL473" s="126"/>
      <c r="AM473" s="91"/>
      <c r="AN473" s="91"/>
      <c r="AO473" s="197">
        <f t="shared" si="31"/>
        <v>0</v>
      </c>
      <c r="AP473" s="126"/>
      <c r="AQ473" s="216"/>
      <c r="AR473" s="127"/>
      <c r="AS473" s="269"/>
      <c r="AT473" s="94"/>
      <c r="AU473" s="84"/>
      <c r="AV473" s="80"/>
      <c r="AW473" s="81"/>
      <c r="AX473" s="77"/>
      <c r="AY473" s="107"/>
      <c r="AZ473" s="220">
        <f t="shared" si="28"/>
        <v>0</v>
      </c>
      <c r="BA473" s="220">
        <f t="shared" si="29"/>
        <v>0</v>
      </c>
    </row>
    <row r="474" spans="1:53" ht="50.1" customHeight="1" x14ac:dyDescent="0.25">
      <c r="A474" s="17">
        <f t="shared" si="30"/>
        <v>460</v>
      </c>
      <c r="B474" s="229"/>
      <c r="C474" s="222"/>
      <c r="D474" s="112"/>
      <c r="E474" s="128"/>
      <c r="F474" s="129"/>
      <c r="G474" s="130"/>
      <c r="H474" s="131"/>
      <c r="I474" s="132"/>
      <c r="J474" s="108"/>
      <c r="K474" s="133"/>
      <c r="L474" s="134"/>
      <c r="M474" s="334"/>
      <c r="N474" s="343"/>
      <c r="O474" s="194"/>
      <c r="P474" s="190"/>
      <c r="Q474" s="194"/>
      <c r="R474" s="190"/>
      <c r="S474" s="297"/>
      <c r="T474" s="303"/>
      <c r="U474" s="294"/>
      <c r="V474" s="300"/>
      <c r="W474" s="249"/>
      <c r="X474" s="344"/>
      <c r="Y474" s="337"/>
      <c r="Z474" s="33"/>
      <c r="AA474" s="83"/>
      <c r="AB474" s="33"/>
      <c r="AC474" s="83"/>
      <c r="AD474" s="33"/>
      <c r="AE474" s="83"/>
      <c r="AF474" s="33"/>
      <c r="AG474" s="244"/>
      <c r="AH474" s="83"/>
      <c r="AI474" s="246"/>
      <c r="AJ474" s="102"/>
      <c r="AK474" s="92"/>
      <c r="AL474" s="91"/>
      <c r="AM474" s="92"/>
      <c r="AN474" s="351"/>
      <c r="AO474" s="197">
        <f t="shared" si="31"/>
        <v>0</v>
      </c>
      <c r="AP474" s="91"/>
      <c r="AQ474" s="217"/>
      <c r="AR474" s="103"/>
      <c r="AS474" s="264"/>
      <c r="AT474" s="94"/>
      <c r="AU474" s="84"/>
      <c r="AV474" s="136"/>
      <c r="AW474" s="77"/>
      <c r="AX474" s="137"/>
      <c r="AY474" s="138"/>
      <c r="AZ474" s="220">
        <f t="shared" si="28"/>
        <v>0</v>
      </c>
      <c r="BA474" s="220">
        <f t="shared" si="29"/>
        <v>0</v>
      </c>
    </row>
    <row r="475" spans="1:53" ht="50.1" customHeight="1" x14ac:dyDescent="0.25">
      <c r="A475" s="17">
        <f t="shared" si="30"/>
        <v>461</v>
      </c>
      <c r="B475" s="228"/>
      <c r="C475" s="221"/>
      <c r="D475" s="88"/>
      <c r="E475" s="100"/>
      <c r="F475" s="95"/>
      <c r="G475" s="114"/>
      <c r="H475" s="96"/>
      <c r="I475" s="97"/>
      <c r="J475" s="98"/>
      <c r="K475" s="101"/>
      <c r="L475" s="124"/>
      <c r="M475" s="333"/>
      <c r="N475" s="341"/>
      <c r="O475" s="190"/>
      <c r="P475" s="191"/>
      <c r="Q475" s="190"/>
      <c r="R475" s="191"/>
      <c r="S475" s="294"/>
      <c r="T475" s="300"/>
      <c r="U475" s="306"/>
      <c r="V475" s="308"/>
      <c r="W475" s="248"/>
      <c r="X475" s="342"/>
      <c r="Y475" s="336"/>
      <c r="Z475" s="123"/>
      <c r="AA475" s="33"/>
      <c r="AB475" s="123"/>
      <c r="AC475" s="33"/>
      <c r="AD475" s="123"/>
      <c r="AE475" s="33"/>
      <c r="AF475" s="123"/>
      <c r="AG475" s="243"/>
      <c r="AH475" s="33"/>
      <c r="AI475" s="245"/>
      <c r="AJ475" s="125"/>
      <c r="AK475" s="91"/>
      <c r="AL475" s="126"/>
      <c r="AM475" s="91"/>
      <c r="AN475" s="91"/>
      <c r="AO475" s="197">
        <f t="shared" si="31"/>
        <v>0</v>
      </c>
      <c r="AP475" s="126"/>
      <c r="AQ475" s="216"/>
      <c r="AR475" s="127"/>
      <c r="AS475" s="269"/>
      <c r="AT475" s="94"/>
      <c r="AU475" s="84"/>
      <c r="AV475" s="80"/>
      <c r="AW475" s="81"/>
      <c r="AX475" s="77"/>
      <c r="AY475" s="107"/>
      <c r="AZ475" s="220">
        <f t="shared" si="28"/>
        <v>0</v>
      </c>
      <c r="BA475" s="220">
        <f t="shared" si="29"/>
        <v>0</v>
      </c>
    </row>
    <row r="476" spans="1:53" ht="50.1" customHeight="1" x14ac:dyDescent="0.25">
      <c r="A476" s="17">
        <f t="shared" si="30"/>
        <v>462</v>
      </c>
      <c r="B476" s="229"/>
      <c r="C476" s="222"/>
      <c r="D476" s="112"/>
      <c r="E476" s="128"/>
      <c r="F476" s="129"/>
      <c r="G476" s="130"/>
      <c r="H476" s="131"/>
      <c r="I476" s="132"/>
      <c r="J476" s="108"/>
      <c r="K476" s="133"/>
      <c r="L476" s="134"/>
      <c r="M476" s="334"/>
      <c r="N476" s="343"/>
      <c r="O476" s="194"/>
      <c r="P476" s="190"/>
      <c r="Q476" s="194"/>
      <c r="R476" s="190"/>
      <c r="S476" s="297"/>
      <c r="T476" s="303"/>
      <c r="U476" s="294"/>
      <c r="V476" s="300"/>
      <c r="W476" s="249"/>
      <c r="X476" s="344"/>
      <c r="Y476" s="337"/>
      <c r="Z476" s="33"/>
      <c r="AA476" s="83"/>
      <c r="AB476" s="33"/>
      <c r="AC476" s="83"/>
      <c r="AD476" s="33"/>
      <c r="AE476" s="83"/>
      <c r="AF476" s="33"/>
      <c r="AG476" s="244"/>
      <c r="AH476" s="83"/>
      <c r="AI476" s="246"/>
      <c r="AJ476" s="102"/>
      <c r="AK476" s="92"/>
      <c r="AL476" s="91"/>
      <c r="AM476" s="92"/>
      <c r="AN476" s="351"/>
      <c r="AO476" s="197">
        <f t="shared" si="31"/>
        <v>0</v>
      </c>
      <c r="AP476" s="91"/>
      <c r="AQ476" s="217"/>
      <c r="AR476" s="103"/>
      <c r="AS476" s="264"/>
      <c r="AT476" s="94"/>
      <c r="AU476" s="84"/>
      <c r="AV476" s="136"/>
      <c r="AW476" s="77"/>
      <c r="AX476" s="137"/>
      <c r="AY476" s="138"/>
      <c r="AZ476" s="220">
        <f t="shared" si="28"/>
        <v>0</v>
      </c>
      <c r="BA476" s="220">
        <f t="shared" si="29"/>
        <v>0</v>
      </c>
    </row>
    <row r="477" spans="1:53" ht="50.1" customHeight="1" x14ac:dyDescent="0.25">
      <c r="A477" s="17">
        <f t="shared" si="30"/>
        <v>463</v>
      </c>
      <c r="B477" s="228"/>
      <c r="C477" s="221"/>
      <c r="D477" s="88"/>
      <c r="E477" s="100"/>
      <c r="F477" s="95"/>
      <c r="G477" s="114"/>
      <c r="H477" s="96"/>
      <c r="I477" s="97"/>
      <c r="J477" s="98"/>
      <c r="K477" s="101"/>
      <c r="L477" s="124"/>
      <c r="M477" s="333"/>
      <c r="N477" s="341"/>
      <c r="O477" s="190"/>
      <c r="P477" s="191"/>
      <c r="Q477" s="190"/>
      <c r="R477" s="191"/>
      <c r="S477" s="294"/>
      <c r="T477" s="300"/>
      <c r="U477" s="306"/>
      <c r="V477" s="308"/>
      <c r="W477" s="248"/>
      <c r="X477" s="342"/>
      <c r="Y477" s="336"/>
      <c r="Z477" s="123"/>
      <c r="AA477" s="33"/>
      <c r="AB477" s="123"/>
      <c r="AC477" s="33"/>
      <c r="AD477" s="123"/>
      <c r="AE477" s="33"/>
      <c r="AF477" s="123"/>
      <c r="AG477" s="243"/>
      <c r="AH477" s="33"/>
      <c r="AI477" s="245"/>
      <c r="AJ477" s="125"/>
      <c r="AK477" s="91"/>
      <c r="AL477" s="126"/>
      <c r="AM477" s="91"/>
      <c r="AN477" s="91"/>
      <c r="AO477" s="197">
        <f t="shared" si="31"/>
        <v>0</v>
      </c>
      <c r="AP477" s="126"/>
      <c r="AQ477" s="216"/>
      <c r="AR477" s="127"/>
      <c r="AS477" s="269"/>
      <c r="AT477" s="94"/>
      <c r="AU477" s="84"/>
      <c r="AV477" s="80"/>
      <c r="AW477" s="81"/>
      <c r="AX477" s="77"/>
      <c r="AY477" s="107"/>
      <c r="AZ477" s="220">
        <f t="shared" si="28"/>
        <v>0</v>
      </c>
      <c r="BA477" s="220">
        <f t="shared" si="29"/>
        <v>0</v>
      </c>
    </row>
    <row r="478" spans="1:53" ht="50.1" customHeight="1" x14ac:dyDescent="0.25">
      <c r="A478" s="17">
        <f t="shared" si="30"/>
        <v>464</v>
      </c>
      <c r="B478" s="229"/>
      <c r="C478" s="222"/>
      <c r="D478" s="112"/>
      <c r="E478" s="128"/>
      <c r="F478" s="129"/>
      <c r="G478" s="130"/>
      <c r="H478" s="131"/>
      <c r="I478" s="132"/>
      <c r="J478" s="108"/>
      <c r="K478" s="133"/>
      <c r="L478" s="134"/>
      <c r="M478" s="334"/>
      <c r="N478" s="343"/>
      <c r="O478" s="194"/>
      <c r="P478" s="190"/>
      <c r="Q478" s="194"/>
      <c r="R478" s="190"/>
      <c r="S478" s="297"/>
      <c r="T478" s="303"/>
      <c r="U478" s="294"/>
      <c r="V478" s="300"/>
      <c r="W478" s="249"/>
      <c r="X478" s="344"/>
      <c r="Y478" s="337"/>
      <c r="Z478" s="33"/>
      <c r="AA478" s="83"/>
      <c r="AB478" s="33"/>
      <c r="AC478" s="83"/>
      <c r="AD478" s="33"/>
      <c r="AE478" s="83"/>
      <c r="AF478" s="33"/>
      <c r="AG478" s="244"/>
      <c r="AH478" s="83"/>
      <c r="AI478" s="246"/>
      <c r="AJ478" s="102"/>
      <c r="AK478" s="92"/>
      <c r="AL478" s="91"/>
      <c r="AM478" s="92"/>
      <c r="AN478" s="351"/>
      <c r="AO478" s="197">
        <f t="shared" si="31"/>
        <v>0</v>
      </c>
      <c r="AP478" s="91"/>
      <c r="AQ478" s="217"/>
      <c r="AR478" s="103"/>
      <c r="AS478" s="264"/>
      <c r="AT478" s="94"/>
      <c r="AU478" s="84"/>
      <c r="AV478" s="136"/>
      <c r="AW478" s="77"/>
      <c r="AX478" s="137"/>
      <c r="AY478" s="138"/>
      <c r="AZ478" s="220">
        <f t="shared" si="28"/>
        <v>0</v>
      </c>
      <c r="BA478" s="220">
        <f t="shared" si="29"/>
        <v>0</v>
      </c>
    </row>
    <row r="479" spans="1:53" ht="50.1" customHeight="1" x14ac:dyDescent="0.25">
      <c r="A479" s="17">
        <f t="shared" si="30"/>
        <v>465</v>
      </c>
      <c r="B479" s="228"/>
      <c r="C479" s="221"/>
      <c r="D479" s="88"/>
      <c r="E479" s="100"/>
      <c r="F479" s="95"/>
      <c r="G479" s="114"/>
      <c r="H479" s="96"/>
      <c r="I479" s="97"/>
      <c r="J479" s="98"/>
      <c r="K479" s="101"/>
      <c r="L479" s="124"/>
      <c r="M479" s="333"/>
      <c r="N479" s="341"/>
      <c r="O479" s="190"/>
      <c r="P479" s="191"/>
      <c r="Q479" s="190"/>
      <c r="R479" s="191"/>
      <c r="S479" s="294"/>
      <c r="T479" s="300"/>
      <c r="U479" s="306"/>
      <c r="V479" s="308"/>
      <c r="W479" s="248"/>
      <c r="X479" s="342"/>
      <c r="Y479" s="336"/>
      <c r="Z479" s="123"/>
      <c r="AA479" s="33"/>
      <c r="AB479" s="123"/>
      <c r="AC479" s="33"/>
      <c r="AD479" s="123"/>
      <c r="AE479" s="33"/>
      <c r="AF479" s="123"/>
      <c r="AG479" s="243"/>
      <c r="AH479" s="33"/>
      <c r="AI479" s="245"/>
      <c r="AJ479" s="125"/>
      <c r="AK479" s="91"/>
      <c r="AL479" s="126"/>
      <c r="AM479" s="91"/>
      <c r="AN479" s="91"/>
      <c r="AO479" s="197">
        <f t="shared" si="31"/>
        <v>0</v>
      </c>
      <c r="AP479" s="126"/>
      <c r="AQ479" s="216"/>
      <c r="AR479" s="127"/>
      <c r="AS479" s="269"/>
      <c r="AT479" s="94"/>
      <c r="AU479" s="84"/>
      <c r="AV479" s="80"/>
      <c r="AW479" s="81"/>
      <c r="AX479" s="77"/>
      <c r="AY479" s="107"/>
      <c r="AZ479" s="220">
        <f t="shared" si="28"/>
        <v>0</v>
      </c>
      <c r="BA479" s="220">
        <f t="shared" si="29"/>
        <v>0</v>
      </c>
    </row>
    <row r="480" spans="1:53" ht="50.1" customHeight="1" x14ac:dyDescent="0.25">
      <c r="A480" s="17">
        <f t="shared" si="30"/>
        <v>466</v>
      </c>
      <c r="B480" s="229"/>
      <c r="C480" s="222"/>
      <c r="D480" s="112"/>
      <c r="E480" s="128"/>
      <c r="F480" s="129"/>
      <c r="G480" s="130"/>
      <c r="H480" s="131"/>
      <c r="I480" s="132"/>
      <c r="J480" s="108"/>
      <c r="K480" s="133"/>
      <c r="L480" s="134"/>
      <c r="M480" s="334"/>
      <c r="N480" s="343"/>
      <c r="O480" s="194"/>
      <c r="P480" s="190"/>
      <c r="Q480" s="194"/>
      <c r="R480" s="190"/>
      <c r="S480" s="297"/>
      <c r="T480" s="303"/>
      <c r="U480" s="294"/>
      <c r="V480" s="300"/>
      <c r="W480" s="249"/>
      <c r="X480" s="344"/>
      <c r="Y480" s="337"/>
      <c r="Z480" s="33"/>
      <c r="AA480" s="83"/>
      <c r="AB480" s="33"/>
      <c r="AC480" s="83"/>
      <c r="AD480" s="33"/>
      <c r="AE480" s="83"/>
      <c r="AF480" s="33"/>
      <c r="AG480" s="244"/>
      <c r="AH480" s="83"/>
      <c r="AI480" s="246"/>
      <c r="AJ480" s="102"/>
      <c r="AK480" s="92"/>
      <c r="AL480" s="91"/>
      <c r="AM480" s="92"/>
      <c r="AN480" s="351"/>
      <c r="AO480" s="197">
        <f t="shared" si="31"/>
        <v>0</v>
      </c>
      <c r="AP480" s="91"/>
      <c r="AQ480" s="217"/>
      <c r="AR480" s="103"/>
      <c r="AS480" s="264"/>
      <c r="AT480" s="94"/>
      <c r="AU480" s="84"/>
      <c r="AV480" s="136"/>
      <c r="AW480" s="77"/>
      <c r="AX480" s="137"/>
      <c r="AY480" s="138"/>
      <c r="AZ480" s="220">
        <f t="shared" si="28"/>
        <v>0</v>
      </c>
      <c r="BA480" s="220">
        <f t="shared" si="29"/>
        <v>0</v>
      </c>
    </row>
    <row r="481" spans="1:53" ht="50.1" customHeight="1" x14ac:dyDescent="0.25">
      <c r="A481" s="17">
        <f t="shared" si="30"/>
        <v>467</v>
      </c>
      <c r="B481" s="228"/>
      <c r="C481" s="221"/>
      <c r="D481" s="88"/>
      <c r="E481" s="100"/>
      <c r="F481" s="95"/>
      <c r="G481" s="114"/>
      <c r="H481" s="96"/>
      <c r="I481" s="97"/>
      <c r="J481" s="98"/>
      <c r="K481" s="101"/>
      <c r="L481" s="124"/>
      <c r="M481" s="333"/>
      <c r="N481" s="341"/>
      <c r="O481" s="190"/>
      <c r="P481" s="191"/>
      <c r="Q481" s="190"/>
      <c r="R481" s="191"/>
      <c r="S481" s="294"/>
      <c r="T481" s="300"/>
      <c r="U481" s="306"/>
      <c r="V481" s="308"/>
      <c r="W481" s="248"/>
      <c r="X481" s="342"/>
      <c r="Y481" s="336"/>
      <c r="Z481" s="123"/>
      <c r="AA481" s="33"/>
      <c r="AB481" s="123"/>
      <c r="AC481" s="33"/>
      <c r="AD481" s="123"/>
      <c r="AE481" s="33"/>
      <c r="AF481" s="123"/>
      <c r="AG481" s="243"/>
      <c r="AH481" s="33"/>
      <c r="AI481" s="245"/>
      <c r="AJ481" s="125"/>
      <c r="AK481" s="91"/>
      <c r="AL481" s="126"/>
      <c r="AM481" s="91"/>
      <c r="AN481" s="91"/>
      <c r="AO481" s="197">
        <f t="shared" si="31"/>
        <v>0</v>
      </c>
      <c r="AP481" s="126"/>
      <c r="AQ481" s="216"/>
      <c r="AR481" s="127"/>
      <c r="AS481" s="269"/>
      <c r="AT481" s="94"/>
      <c r="AU481" s="84"/>
      <c r="AV481" s="80"/>
      <c r="AW481" s="81"/>
      <c r="AX481" s="77"/>
      <c r="AY481" s="107"/>
      <c r="AZ481" s="220">
        <f t="shared" si="28"/>
        <v>0</v>
      </c>
      <c r="BA481" s="220">
        <f t="shared" si="29"/>
        <v>0</v>
      </c>
    </row>
    <row r="482" spans="1:53" ht="50.1" customHeight="1" x14ac:dyDescent="0.25">
      <c r="A482" s="17">
        <f t="shared" si="30"/>
        <v>468</v>
      </c>
      <c r="B482" s="229"/>
      <c r="C482" s="222"/>
      <c r="D482" s="112"/>
      <c r="E482" s="128"/>
      <c r="F482" s="129"/>
      <c r="G482" s="130"/>
      <c r="H482" s="131"/>
      <c r="I482" s="132"/>
      <c r="J482" s="108"/>
      <c r="K482" s="133"/>
      <c r="L482" s="134"/>
      <c r="M482" s="334"/>
      <c r="N482" s="343"/>
      <c r="O482" s="194"/>
      <c r="P482" s="190"/>
      <c r="Q482" s="194"/>
      <c r="R482" s="190"/>
      <c r="S482" s="297"/>
      <c r="T482" s="303"/>
      <c r="U482" s="294"/>
      <c r="V482" s="300"/>
      <c r="W482" s="249"/>
      <c r="X482" s="344"/>
      <c r="Y482" s="337"/>
      <c r="Z482" s="33"/>
      <c r="AA482" s="83"/>
      <c r="AB482" s="33"/>
      <c r="AC482" s="83"/>
      <c r="AD482" s="33"/>
      <c r="AE482" s="83"/>
      <c r="AF482" s="33"/>
      <c r="AG482" s="244"/>
      <c r="AH482" s="83"/>
      <c r="AI482" s="246"/>
      <c r="AJ482" s="102"/>
      <c r="AK482" s="92"/>
      <c r="AL482" s="91"/>
      <c r="AM482" s="92"/>
      <c r="AN482" s="351"/>
      <c r="AO482" s="197">
        <f t="shared" si="31"/>
        <v>0</v>
      </c>
      <c r="AP482" s="91"/>
      <c r="AQ482" s="217"/>
      <c r="AR482" s="103"/>
      <c r="AS482" s="264"/>
      <c r="AT482" s="94"/>
      <c r="AU482" s="84"/>
      <c r="AV482" s="136"/>
      <c r="AW482" s="77"/>
      <c r="AX482" s="137"/>
      <c r="AY482" s="138"/>
      <c r="AZ482" s="220">
        <f t="shared" si="28"/>
        <v>0</v>
      </c>
      <c r="BA482" s="220">
        <f t="shared" si="29"/>
        <v>0</v>
      </c>
    </row>
    <row r="483" spans="1:53" ht="50.1" customHeight="1" x14ac:dyDescent="0.25">
      <c r="A483" s="17">
        <f t="shared" si="30"/>
        <v>469</v>
      </c>
      <c r="B483" s="228"/>
      <c r="C483" s="221"/>
      <c r="D483" s="88"/>
      <c r="E483" s="100"/>
      <c r="F483" s="95"/>
      <c r="G483" s="114"/>
      <c r="H483" s="96"/>
      <c r="I483" s="97"/>
      <c r="J483" s="98"/>
      <c r="K483" s="101"/>
      <c r="L483" s="124"/>
      <c r="M483" s="333"/>
      <c r="N483" s="341"/>
      <c r="O483" s="190"/>
      <c r="P483" s="191"/>
      <c r="Q483" s="190"/>
      <c r="R483" s="191"/>
      <c r="S483" s="294"/>
      <c r="T483" s="300"/>
      <c r="U483" s="306"/>
      <c r="V483" s="308"/>
      <c r="W483" s="248"/>
      <c r="X483" s="342"/>
      <c r="Y483" s="336"/>
      <c r="Z483" s="123"/>
      <c r="AA483" s="33"/>
      <c r="AB483" s="123"/>
      <c r="AC483" s="33"/>
      <c r="AD483" s="123"/>
      <c r="AE483" s="33"/>
      <c r="AF483" s="123"/>
      <c r="AG483" s="243"/>
      <c r="AH483" s="33"/>
      <c r="AI483" s="245"/>
      <c r="AJ483" s="125"/>
      <c r="AK483" s="91"/>
      <c r="AL483" s="126"/>
      <c r="AM483" s="91"/>
      <c r="AN483" s="91"/>
      <c r="AO483" s="197">
        <f t="shared" si="31"/>
        <v>0</v>
      </c>
      <c r="AP483" s="126"/>
      <c r="AQ483" s="216"/>
      <c r="AR483" s="127"/>
      <c r="AS483" s="269"/>
      <c r="AT483" s="94"/>
      <c r="AU483" s="84"/>
      <c r="AV483" s="80"/>
      <c r="AW483" s="81"/>
      <c r="AX483" s="77"/>
      <c r="AY483" s="107"/>
      <c r="AZ483" s="220">
        <f t="shared" si="28"/>
        <v>0</v>
      </c>
      <c r="BA483" s="220">
        <f t="shared" si="29"/>
        <v>0</v>
      </c>
    </row>
    <row r="484" spans="1:53" ht="50.1" customHeight="1" x14ac:dyDescent="0.25">
      <c r="A484" s="17">
        <f t="shared" si="30"/>
        <v>470</v>
      </c>
      <c r="B484" s="229"/>
      <c r="C484" s="222"/>
      <c r="D484" s="112"/>
      <c r="E484" s="128"/>
      <c r="F484" s="129"/>
      <c r="G484" s="130"/>
      <c r="H484" s="131"/>
      <c r="I484" s="132"/>
      <c r="J484" s="108"/>
      <c r="K484" s="133"/>
      <c r="L484" s="134"/>
      <c r="M484" s="334"/>
      <c r="N484" s="343"/>
      <c r="O484" s="194"/>
      <c r="P484" s="190"/>
      <c r="Q484" s="194"/>
      <c r="R484" s="190"/>
      <c r="S484" s="297"/>
      <c r="T484" s="303"/>
      <c r="U484" s="294"/>
      <c r="V484" s="300"/>
      <c r="W484" s="249"/>
      <c r="X484" s="344"/>
      <c r="Y484" s="337"/>
      <c r="Z484" s="33"/>
      <c r="AA484" s="83"/>
      <c r="AB484" s="33"/>
      <c r="AC484" s="83"/>
      <c r="AD484" s="33"/>
      <c r="AE484" s="83"/>
      <c r="AF484" s="33"/>
      <c r="AG484" s="244"/>
      <c r="AH484" s="83"/>
      <c r="AI484" s="246"/>
      <c r="AJ484" s="102"/>
      <c r="AK484" s="92"/>
      <c r="AL484" s="91"/>
      <c r="AM484" s="92"/>
      <c r="AN484" s="351"/>
      <c r="AO484" s="197">
        <f t="shared" si="31"/>
        <v>0</v>
      </c>
      <c r="AP484" s="91"/>
      <c r="AQ484" s="217"/>
      <c r="AR484" s="103"/>
      <c r="AS484" s="264"/>
      <c r="AT484" s="94"/>
      <c r="AU484" s="84"/>
      <c r="AV484" s="136"/>
      <c r="AW484" s="77"/>
      <c r="AX484" s="137"/>
      <c r="AY484" s="138"/>
      <c r="AZ484" s="220">
        <f t="shared" si="28"/>
        <v>0</v>
      </c>
      <c r="BA484" s="220">
        <f t="shared" si="29"/>
        <v>0</v>
      </c>
    </row>
    <row r="485" spans="1:53" ht="50.1" customHeight="1" x14ac:dyDescent="0.25">
      <c r="A485" s="17">
        <f t="shared" si="30"/>
        <v>471</v>
      </c>
      <c r="B485" s="228"/>
      <c r="C485" s="221"/>
      <c r="D485" s="88"/>
      <c r="E485" s="100"/>
      <c r="F485" s="95"/>
      <c r="G485" s="114"/>
      <c r="H485" s="96"/>
      <c r="I485" s="97"/>
      <c r="J485" s="98"/>
      <c r="K485" s="101"/>
      <c r="L485" s="124"/>
      <c r="M485" s="333"/>
      <c r="N485" s="341"/>
      <c r="O485" s="190"/>
      <c r="P485" s="191"/>
      <c r="Q485" s="190"/>
      <c r="R485" s="191"/>
      <c r="S485" s="294"/>
      <c r="T485" s="300"/>
      <c r="U485" s="306"/>
      <c r="V485" s="308"/>
      <c r="W485" s="248"/>
      <c r="X485" s="342"/>
      <c r="Y485" s="336"/>
      <c r="Z485" s="123"/>
      <c r="AA485" s="33"/>
      <c r="AB485" s="123"/>
      <c r="AC485" s="33"/>
      <c r="AD485" s="123"/>
      <c r="AE485" s="33"/>
      <c r="AF485" s="123"/>
      <c r="AG485" s="243"/>
      <c r="AH485" s="33"/>
      <c r="AI485" s="245"/>
      <c r="AJ485" s="125"/>
      <c r="AK485" s="91"/>
      <c r="AL485" s="126"/>
      <c r="AM485" s="91"/>
      <c r="AN485" s="91"/>
      <c r="AO485" s="197">
        <f t="shared" si="31"/>
        <v>0</v>
      </c>
      <c r="AP485" s="126"/>
      <c r="AQ485" s="216"/>
      <c r="AR485" s="127"/>
      <c r="AS485" s="269"/>
      <c r="AT485" s="94"/>
      <c r="AU485" s="84"/>
      <c r="AV485" s="80"/>
      <c r="AW485" s="81"/>
      <c r="AX485" s="77"/>
      <c r="AY485" s="107"/>
      <c r="AZ485" s="220">
        <f t="shared" si="28"/>
        <v>0</v>
      </c>
      <c r="BA485" s="220">
        <f t="shared" si="29"/>
        <v>0</v>
      </c>
    </row>
    <row r="486" spans="1:53" ht="50.1" customHeight="1" x14ac:dyDescent="0.25">
      <c r="A486" s="17">
        <f t="shared" si="30"/>
        <v>472</v>
      </c>
      <c r="B486" s="229"/>
      <c r="C486" s="222"/>
      <c r="D486" s="112"/>
      <c r="E486" s="128"/>
      <c r="F486" s="129"/>
      <c r="G486" s="130"/>
      <c r="H486" s="131"/>
      <c r="I486" s="132"/>
      <c r="J486" s="108"/>
      <c r="K486" s="133"/>
      <c r="L486" s="134"/>
      <c r="M486" s="334"/>
      <c r="N486" s="343"/>
      <c r="O486" s="194"/>
      <c r="P486" s="190"/>
      <c r="Q486" s="194"/>
      <c r="R486" s="190"/>
      <c r="S486" s="297"/>
      <c r="T486" s="303"/>
      <c r="U486" s="294"/>
      <c r="V486" s="300"/>
      <c r="W486" s="249"/>
      <c r="X486" s="344"/>
      <c r="Y486" s="337"/>
      <c r="Z486" s="33"/>
      <c r="AA486" s="83"/>
      <c r="AB486" s="33"/>
      <c r="AC486" s="83"/>
      <c r="AD486" s="33"/>
      <c r="AE486" s="83"/>
      <c r="AF486" s="33"/>
      <c r="AG486" s="244"/>
      <c r="AH486" s="83"/>
      <c r="AI486" s="246"/>
      <c r="AJ486" s="102"/>
      <c r="AK486" s="92"/>
      <c r="AL486" s="91"/>
      <c r="AM486" s="92"/>
      <c r="AN486" s="351"/>
      <c r="AO486" s="197">
        <f t="shared" si="31"/>
        <v>0</v>
      </c>
      <c r="AP486" s="91"/>
      <c r="AQ486" s="217"/>
      <c r="AR486" s="103"/>
      <c r="AS486" s="264"/>
      <c r="AT486" s="94"/>
      <c r="AU486" s="84"/>
      <c r="AV486" s="136"/>
      <c r="AW486" s="77"/>
      <c r="AX486" s="137"/>
      <c r="AY486" s="138"/>
      <c r="AZ486" s="220">
        <f t="shared" si="28"/>
        <v>0</v>
      </c>
      <c r="BA486" s="220">
        <f t="shared" si="29"/>
        <v>0</v>
      </c>
    </row>
    <row r="487" spans="1:53" ht="50.1" customHeight="1" x14ac:dyDescent="0.25">
      <c r="A487" s="17">
        <f t="shared" si="30"/>
        <v>473</v>
      </c>
      <c r="B487" s="228"/>
      <c r="C487" s="221"/>
      <c r="D487" s="88"/>
      <c r="E487" s="100"/>
      <c r="F487" s="95"/>
      <c r="G487" s="114"/>
      <c r="H487" s="96"/>
      <c r="I487" s="97"/>
      <c r="J487" s="98"/>
      <c r="K487" s="101"/>
      <c r="L487" s="124"/>
      <c r="M487" s="333"/>
      <c r="N487" s="341"/>
      <c r="O487" s="190"/>
      <c r="P487" s="191"/>
      <c r="Q487" s="190"/>
      <c r="R487" s="191"/>
      <c r="S487" s="294"/>
      <c r="T487" s="300"/>
      <c r="U487" s="306"/>
      <c r="V487" s="308"/>
      <c r="W487" s="248"/>
      <c r="X487" s="342"/>
      <c r="Y487" s="336"/>
      <c r="Z487" s="123"/>
      <c r="AA487" s="33"/>
      <c r="AB487" s="123"/>
      <c r="AC487" s="33"/>
      <c r="AD487" s="123"/>
      <c r="AE487" s="33"/>
      <c r="AF487" s="123"/>
      <c r="AG487" s="243"/>
      <c r="AH487" s="33"/>
      <c r="AI487" s="245"/>
      <c r="AJ487" s="125"/>
      <c r="AK487" s="91"/>
      <c r="AL487" s="126"/>
      <c r="AM487" s="91"/>
      <c r="AN487" s="91"/>
      <c r="AO487" s="197">
        <f t="shared" si="31"/>
        <v>0</v>
      </c>
      <c r="AP487" s="126"/>
      <c r="AQ487" s="216"/>
      <c r="AR487" s="127"/>
      <c r="AS487" s="269"/>
      <c r="AT487" s="94"/>
      <c r="AU487" s="84"/>
      <c r="AV487" s="80"/>
      <c r="AW487" s="81"/>
      <c r="AX487" s="77"/>
      <c r="AY487" s="107"/>
      <c r="AZ487" s="220">
        <f t="shared" si="28"/>
        <v>0</v>
      </c>
      <c r="BA487" s="220">
        <f t="shared" si="29"/>
        <v>0</v>
      </c>
    </row>
    <row r="488" spans="1:53" ht="50.1" customHeight="1" x14ac:dyDescent="0.25">
      <c r="A488" s="17">
        <f t="shared" si="30"/>
        <v>474</v>
      </c>
      <c r="B488" s="229"/>
      <c r="C488" s="222"/>
      <c r="D488" s="112"/>
      <c r="E488" s="128"/>
      <c r="F488" s="129"/>
      <c r="G488" s="130"/>
      <c r="H488" s="131"/>
      <c r="I488" s="132"/>
      <c r="J488" s="108"/>
      <c r="K488" s="133"/>
      <c r="L488" s="134"/>
      <c r="M488" s="334"/>
      <c r="N488" s="343"/>
      <c r="O488" s="194"/>
      <c r="P488" s="190"/>
      <c r="Q488" s="194"/>
      <c r="R488" s="190"/>
      <c r="S488" s="297"/>
      <c r="T488" s="303"/>
      <c r="U488" s="294"/>
      <c r="V488" s="300"/>
      <c r="W488" s="249"/>
      <c r="X488" s="344"/>
      <c r="Y488" s="337"/>
      <c r="Z488" s="33"/>
      <c r="AA488" s="83"/>
      <c r="AB488" s="33"/>
      <c r="AC488" s="83"/>
      <c r="AD488" s="33"/>
      <c r="AE488" s="83"/>
      <c r="AF488" s="33"/>
      <c r="AG488" s="244"/>
      <c r="AH488" s="83"/>
      <c r="AI488" s="246"/>
      <c r="AJ488" s="102"/>
      <c r="AK488" s="92"/>
      <c r="AL488" s="91"/>
      <c r="AM488" s="92"/>
      <c r="AN488" s="351"/>
      <c r="AO488" s="197">
        <f t="shared" si="31"/>
        <v>0</v>
      </c>
      <c r="AP488" s="91"/>
      <c r="AQ488" s="217"/>
      <c r="AR488" s="103"/>
      <c r="AS488" s="264"/>
      <c r="AT488" s="94"/>
      <c r="AU488" s="84"/>
      <c r="AV488" s="136"/>
      <c r="AW488" s="77"/>
      <c r="AX488" s="137"/>
      <c r="AY488" s="138"/>
      <c r="AZ488" s="220">
        <f t="shared" si="28"/>
        <v>0</v>
      </c>
      <c r="BA488" s="220">
        <f t="shared" si="29"/>
        <v>0</v>
      </c>
    </row>
    <row r="489" spans="1:53" ht="50.1" customHeight="1" x14ac:dyDescent="0.25">
      <c r="A489" s="17">
        <f t="shared" si="30"/>
        <v>475</v>
      </c>
      <c r="B489" s="228"/>
      <c r="C489" s="221"/>
      <c r="D489" s="88"/>
      <c r="E489" s="100"/>
      <c r="F489" s="95"/>
      <c r="G489" s="114"/>
      <c r="H489" s="96"/>
      <c r="I489" s="97"/>
      <c r="J489" s="98"/>
      <c r="K489" s="101"/>
      <c r="L489" s="124"/>
      <c r="M489" s="333"/>
      <c r="N489" s="341"/>
      <c r="O489" s="190"/>
      <c r="P489" s="191"/>
      <c r="Q489" s="190"/>
      <c r="R489" s="191"/>
      <c r="S489" s="294"/>
      <c r="T489" s="300"/>
      <c r="U489" s="306"/>
      <c r="V489" s="308"/>
      <c r="W489" s="248"/>
      <c r="X489" s="342"/>
      <c r="Y489" s="336"/>
      <c r="Z489" s="123"/>
      <c r="AA489" s="33"/>
      <c r="AB489" s="123"/>
      <c r="AC489" s="33"/>
      <c r="AD489" s="123"/>
      <c r="AE489" s="33"/>
      <c r="AF489" s="123"/>
      <c r="AG489" s="243"/>
      <c r="AH489" s="33"/>
      <c r="AI489" s="245"/>
      <c r="AJ489" s="125"/>
      <c r="AK489" s="91"/>
      <c r="AL489" s="126"/>
      <c r="AM489" s="91"/>
      <c r="AN489" s="91"/>
      <c r="AO489" s="197">
        <f t="shared" si="31"/>
        <v>0</v>
      </c>
      <c r="AP489" s="126"/>
      <c r="AQ489" s="216"/>
      <c r="AR489" s="127"/>
      <c r="AS489" s="269"/>
      <c r="AT489" s="94"/>
      <c r="AU489" s="84"/>
      <c r="AV489" s="80"/>
      <c r="AW489" s="81"/>
      <c r="AX489" s="77"/>
      <c r="AY489" s="107"/>
      <c r="AZ489" s="220">
        <f t="shared" si="28"/>
        <v>0</v>
      </c>
      <c r="BA489" s="220">
        <f t="shared" si="29"/>
        <v>0</v>
      </c>
    </row>
    <row r="490" spans="1:53" ht="50.1" customHeight="1" x14ac:dyDescent="0.25">
      <c r="A490" s="17">
        <f t="shared" si="30"/>
        <v>476</v>
      </c>
      <c r="B490" s="229"/>
      <c r="C490" s="222"/>
      <c r="D490" s="112"/>
      <c r="E490" s="128"/>
      <c r="F490" s="129"/>
      <c r="G490" s="130"/>
      <c r="H490" s="131"/>
      <c r="I490" s="132"/>
      <c r="J490" s="108"/>
      <c r="K490" s="133"/>
      <c r="L490" s="134"/>
      <c r="M490" s="334"/>
      <c r="N490" s="343"/>
      <c r="O490" s="194"/>
      <c r="P490" s="190"/>
      <c r="Q490" s="194"/>
      <c r="R490" s="190"/>
      <c r="S490" s="297"/>
      <c r="T490" s="303"/>
      <c r="U490" s="294"/>
      <c r="V490" s="300"/>
      <c r="W490" s="249"/>
      <c r="X490" s="344"/>
      <c r="Y490" s="337"/>
      <c r="Z490" s="33"/>
      <c r="AA490" s="83"/>
      <c r="AB490" s="33"/>
      <c r="AC490" s="83"/>
      <c r="AD490" s="33"/>
      <c r="AE490" s="83"/>
      <c r="AF490" s="33"/>
      <c r="AG490" s="244"/>
      <c r="AH490" s="83"/>
      <c r="AI490" s="246"/>
      <c r="AJ490" s="102"/>
      <c r="AK490" s="92"/>
      <c r="AL490" s="91"/>
      <c r="AM490" s="92"/>
      <c r="AN490" s="351"/>
      <c r="AO490" s="197">
        <f t="shared" si="31"/>
        <v>0</v>
      </c>
      <c r="AP490" s="91"/>
      <c r="AQ490" s="217"/>
      <c r="AR490" s="103"/>
      <c r="AS490" s="264"/>
      <c r="AT490" s="94"/>
      <c r="AU490" s="84"/>
      <c r="AV490" s="136"/>
      <c r="AW490" s="77"/>
      <c r="AX490" s="137"/>
      <c r="AY490" s="138"/>
      <c r="AZ490" s="220">
        <f t="shared" si="28"/>
        <v>0</v>
      </c>
      <c r="BA490" s="220">
        <f t="shared" si="29"/>
        <v>0</v>
      </c>
    </row>
    <row r="491" spans="1:53" ht="50.1" customHeight="1" x14ac:dyDescent="0.25">
      <c r="A491" s="17">
        <f t="shared" si="30"/>
        <v>477</v>
      </c>
      <c r="B491" s="228"/>
      <c r="C491" s="221"/>
      <c r="D491" s="88"/>
      <c r="E491" s="100"/>
      <c r="F491" s="95"/>
      <c r="G491" s="114"/>
      <c r="H491" s="96"/>
      <c r="I491" s="97"/>
      <c r="J491" s="98"/>
      <c r="K491" s="101"/>
      <c r="L491" s="124"/>
      <c r="M491" s="333"/>
      <c r="N491" s="341"/>
      <c r="O491" s="82"/>
      <c r="P491" s="93"/>
      <c r="Q491" s="82"/>
      <c r="R491" s="93"/>
      <c r="S491" s="298"/>
      <c r="T491" s="304"/>
      <c r="U491" s="307"/>
      <c r="V491" s="309"/>
      <c r="W491" s="248"/>
      <c r="X491" s="342"/>
      <c r="Y491" s="336"/>
      <c r="Z491" s="123"/>
      <c r="AA491" s="33"/>
      <c r="AB491" s="123"/>
      <c r="AC491" s="33"/>
      <c r="AD491" s="123"/>
      <c r="AE491" s="33"/>
      <c r="AF491" s="123"/>
      <c r="AG491" s="243"/>
      <c r="AH491" s="33"/>
      <c r="AI491" s="245"/>
      <c r="AJ491" s="125"/>
      <c r="AK491" s="91"/>
      <c r="AL491" s="126"/>
      <c r="AM491" s="91"/>
      <c r="AN491" s="91"/>
      <c r="AO491" s="197">
        <f t="shared" si="31"/>
        <v>0</v>
      </c>
      <c r="AP491" s="126"/>
      <c r="AQ491" s="216"/>
      <c r="AR491" s="127"/>
      <c r="AS491" s="269"/>
      <c r="AT491" s="94"/>
      <c r="AU491" s="84"/>
      <c r="AV491" s="80"/>
      <c r="AW491" s="81"/>
      <c r="AX491" s="77"/>
      <c r="AY491" s="107"/>
      <c r="AZ491" s="220">
        <f t="shared" si="28"/>
        <v>0</v>
      </c>
      <c r="BA491" s="220">
        <f t="shared" si="29"/>
        <v>0</v>
      </c>
    </row>
    <row r="492" spans="1:53" ht="50.1" customHeight="1" x14ac:dyDescent="0.25">
      <c r="A492" s="17">
        <f t="shared" si="30"/>
        <v>478</v>
      </c>
      <c r="B492" s="229"/>
      <c r="C492" s="222"/>
      <c r="D492" s="112"/>
      <c r="E492" s="128"/>
      <c r="F492" s="129"/>
      <c r="G492" s="130"/>
      <c r="H492" s="131"/>
      <c r="I492" s="132"/>
      <c r="J492" s="108"/>
      <c r="K492" s="133"/>
      <c r="L492" s="134"/>
      <c r="M492" s="334"/>
      <c r="N492" s="343"/>
      <c r="O492" s="135"/>
      <c r="P492" s="82"/>
      <c r="Q492" s="135"/>
      <c r="R492" s="82"/>
      <c r="S492" s="299"/>
      <c r="T492" s="305"/>
      <c r="U492" s="298"/>
      <c r="V492" s="304"/>
      <c r="W492" s="249"/>
      <c r="X492" s="344"/>
      <c r="Y492" s="337"/>
      <c r="Z492" s="33"/>
      <c r="AA492" s="83"/>
      <c r="AB492" s="33"/>
      <c r="AC492" s="83"/>
      <c r="AD492" s="33"/>
      <c r="AE492" s="83"/>
      <c r="AF492" s="33"/>
      <c r="AG492" s="244"/>
      <c r="AH492" s="83"/>
      <c r="AI492" s="246"/>
      <c r="AJ492" s="102"/>
      <c r="AK492" s="92"/>
      <c r="AL492" s="91"/>
      <c r="AM492" s="92"/>
      <c r="AN492" s="351"/>
      <c r="AO492" s="197">
        <f t="shared" si="31"/>
        <v>0</v>
      </c>
      <c r="AP492" s="91"/>
      <c r="AQ492" s="217"/>
      <c r="AR492" s="103"/>
      <c r="AS492" s="264"/>
      <c r="AT492" s="94"/>
      <c r="AU492" s="84"/>
      <c r="AV492" s="136"/>
      <c r="AW492" s="77"/>
      <c r="AX492" s="137"/>
      <c r="AY492" s="138"/>
      <c r="AZ492" s="220">
        <f t="shared" si="28"/>
        <v>0</v>
      </c>
      <c r="BA492" s="220">
        <f t="shared" si="29"/>
        <v>0</v>
      </c>
    </row>
    <row r="493" spans="1:53" ht="50.1" customHeight="1" x14ac:dyDescent="0.25">
      <c r="A493" s="17">
        <f t="shared" si="30"/>
        <v>479</v>
      </c>
      <c r="B493" s="228"/>
      <c r="C493" s="221"/>
      <c r="D493" s="88"/>
      <c r="E493" s="100"/>
      <c r="F493" s="95"/>
      <c r="G493" s="114"/>
      <c r="H493" s="96"/>
      <c r="I493" s="97"/>
      <c r="J493" s="98"/>
      <c r="K493" s="101"/>
      <c r="L493" s="124"/>
      <c r="M493" s="333"/>
      <c r="N493" s="341"/>
      <c r="O493" s="82"/>
      <c r="P493" s="93"/>
      <c r="Q493" s="82"/>
      <c r="R493" s="93"/>
      <c r="S493" s="298"/>
      <c r="T493" s="304"/>
      <c r="U493" s="307"/>
      <c r="V493" s="309"/>
      <c r="W493" s="248"/>
      <c r="X493" s="342"/>
      <c r="Y493" s="336"/>
      <c r="Z493" s="123"/>
      <c r="AA493" s="33"/>
      <c r="AB493" s="123"/>
      <c r="AC493" s="33"/>
      <c r="AD493" s="123"/>
      <c r="AE493" s="33"/>
      <c r="AF493" s="123"/>
      <c r="AG493" s="243"/>
      <c r="AH493" s="33"/>
      <c r="AI493" s="245"/>
      <c r="AJ493" s="125"/>
      <c r="AK493" s="91"/>
      <c r="AL493" s="126"/>
      <c r="AM493" s="91"/>
      <c r="AN493" s="91"/>
      <c r="AO493" s="197">
        <f t="shared" si="31"/>
        <v>0</v>
      </c>
      <c r="AP493" s="126"/>
      <c r="AQ493" s="216"/>
      <c r="AR493" s="127"/>
      <c r="AS493" s="269"/>
      <c r="AT493" s="94"/>
      <c r="AU493" s="84"/>
      <c r="AV493" s="80"/>
      <c r="AW493" s="81"/>
      <c r="AX493" s="77"/>
      <c r="AY493" s="107"/>
      <c r="AZ493" s="220">
        <f t="shared" si="28"/>
        <v>0</v>
      </c>
      <c r="BA493" s="220">
        <f t="shared" si="29"/>
        <v>0</v>
      </c>
    </row>
    <row r="494" spans="1:53" ht="50.1" customHeight="1" x14ac:dyDescent="0.25">
      <c r="A494" s="17">
        <f t="shared" si="30"/>
        <v>480</v>
      </c>
      <c r="B494" s="229"/>
      <c r="C494" s="222"/>
      <c r="D494" s="112"/>
      <c r="E494" s="128"/>
      <c r="F494" s="129"/>
      <c r="G494" s="130"/>
      <c r="H494" s="131"/>
      <c r="I494" s="132"/>
      <c r="J494" s="108"/>
      <c r="K494" s="133"/>
      <c r="L494" s="134"/>
      <c r="M494" s="334"/>
      <c r="N494" s="343"/>
      <c r="O494" s="135"/>
      <c r="P494" s="82"/>
      <c r="Q494" s="135"/>
      <c r="R494" s="82"/>
      <c r="S494" s="299"/>
      <c r="T494" s="305"/>
      <c r="U494" s="298"/>
      <c r="V494" s="304"/>
      <c r="W494" s="249"/>
      <c r="X494" s="344"/>
      <c r="Y494" s="337"/>
      <c r="Z494" s="33"/>
      <c r="AA494" s="83"/>
      <c r="AB494" s="33"/>
      <c r="AC494" s="83"/>
      <c r="AD494" s="33"/>
      <c r="AE494" s="83"/>
      <c r="AF494" s="33"/>
      <c r="AG494" s="244"/>
      <c r="AH494" s="83"/>
      <c r="AI494" s="246"/>
      <c r="AJ494" s="102"/>
      <c r="AK494" s="92"/>
      <c r="AL494" s="91"/>
      <c r="AM494" s="92"/>
      <c r="AN494" s="351"/>
      <c r="AO494" s="197">
        <f t="shared" si="31"/>
        <v>0</v>
      </c>
      <c r="AP494" s="91"/>
      <c r="AQ494" s="217"/>
      <c r="AR494" s="103"/>
      <c r="AS494" s="264"/>
      <c r="AT494" s="94"/>
      <c r="AU494" s="84"/>
      <c r="AV494" s="136"/>
      <c r="AW494" s="77"/>
      <c r="AX494" s="137"/>
      <c r="AY494" s="138"/>
      <c r="AZ494" s="220">
        <f t="shared" si="28"/>
        <v>0</v>
      </c>
      <c r="BA494" s="220">
        <f t="shared" si="29"/>
        <v>0</v>
      </c>
    </row>
    <row r="495" spans="1:53" ht="50.1" customHeight="1" x14ac:dyDescent="0.25">
      <c r="A495" s="17">
        <f t="shared" si="30"/>
        <v>481</v>
      </c>
      <c r="B495" s="228"/>
      <c r="C495" s="221"/>
      <c r="D495" s="88"/>
      <c r="E495" s="100"/>
      <c r="F495" s="95"/>
      <c r="G495" s="114"/>
      <c r="H495" s="96"/>
      <c r="I495" s="97"/>
      <c r="J495" s="98"/>
      <c r="K495" s="101"/>
      <c r="L495" s="124"/>
      <c r="M495" s="333"/>
      <c r="N495" s="341"/>
      <c r="O495" s="82"/>
      <c r="P495" s="93"/>
      <c r="Q495" s="82"/>
      <c r="R495" s="93"/>
      <c r="S495" s="298"/>
      <c r="T495" s="304"/>
      <c r="U495" s="307"/>
      <c r="V495" s="309"/>
      <c r="W495" s="248"/>
      <c r="X495" s="342"/>
      <c r="Y495" s="336"/>
      <c r="Z495" s="123"/>
      <c r="AA495" s="33"/>
      <c r="AB495" s="123"/>
      <c r="AC495" s="33"/>
      <c r="AD495" s="123"/>
      <c r="AE495" s="33"/>
      <c r="AF495" s="123"/>
      <c r="AG495" s="243"/>
      <c r="AH495" s="33"/>
      <c r="AI495" s="245"/>
      <c r="AJ495" s="125"/>
      <c r="AK495" s="91"/>
      <c r="AL495" s="126"/>
      <c r="AM495" s="91"/>
      <c r="AN495" s="91"/>
      <c r="AO495" s="197">
        <f t="shared" si="31"/>
        <v>0</v>
      </c>
      <c r="AP495" s="126"/>
      <c r="AQ495" s="216"/>
      <c r="AR495" s="127"/>
      <c r="AS495" s="269"/>
      <c r="AT495" s="94"/>
      <c r="AU495" s="84"/>
      <c r="AV495" s="80"/>
      <c r="AW495" s="81"/>
      <c r="AX495" s="77"/>
      <c r="AY495" s="107"/>
      <c r="AZ495" s="220">
        <f t="shared" si="28"/>
        <v>0</v>
      </c>
      <c r="BA495" s="220">
        <f t="shared" si="29"/>
        <v>0</v>
      </c>
    </row>
    <row r="496" spans="1:53" ht="50.1" customHeight="1" x14ac:dyDescent="0.25">
      <c r="A496" s="17">
        <f t="shared" si="30"/>
        <v>482</v>
      </c>
      <c r="B496" s="229"/>
      <c r="C496" s="222"/>
      <c r="D496" s="112"/>
      <c r="E496" s="128"/>
      <c r="F496" s="129"/>
      <c r="G496" s="130"/>
      <c r="H496" s="131"/>
      <c r="I496" s="132"/>
      <c r="J496" s="108"/>
      <c r="K496" s="133"/>
      <c r="L496" s="134"/>
      <c r="M496" s="334"/>
      <c r="N496" s="343"/>
      <c r="O496" s="135"/>
      <c r="P496" s="82"/>
      <c r="Q496" s="135"/>
      <c r="R496" s="82"/>
      <c r="S496" s="299"/>
      <c r="T496" s="305"/>
      <c r="U496" s="298"/>
      <c r="V496" s="304"/>
      <c r="W496" s="249"/>
      <c r="X496" s="344"/>
      <c r="Y496" s="337"/>
      <c r="Z496" s="33"/>
      <c r="AA496" s="83"/>
      <c r="AB496" s="33"/>
      <c r="AC496" s="83"/>
      <c r="AD496" s="33"/>
      <c r="AE496" s="83"/>
      <c r="AF496" s="33"/>
      <c r="AG496" s="244"/>
      <c r="AH496" s="83"/>
      <c r="AI496" s="246"/>
      <c r="AJ496" s="102"/>
      <c r="AK496" s="92"/>
      <c r="AL496" s="91"/>
      <c r="AM496" s="92"/>
      <c r="AN496" s="351"/>
      <c r="AO496" s="197">
        <f t="shared" si="31"/>
        <v>0</v>
      </c>
      <c r="AP496" s="91"/>
      <c r="AQ496" s="217"/>
      <c r="AR496" s="103"/>
      <c r="AS496" s="264"/>
      <c r="AT496" s="94"/>
      <c r="AU496" s="84"/>
      <c r="AV496" s="136"/>
      <c r="AW496" s="77"/>
      <c r="AX496" s="137"/>
      <c r="AY496" s="138"/>
      <c r="AZ496" s="220">
        <f t="shared" si="28"/>
        <v>0</v>
      </c>
      <c r="BA496" s="220">
        <f t="shared" si="29"/>
        <v>0</v>
      </c>
    </row>
    <row r="497" spans="1:53" ht="50.1" customHeight="1" x14ac:dyDescent="0.25">
      <c r="A497" s="17">
        <f t="shared" si="30"/>
        <v>483</v>
      </c>
      <c r="B497" s="228"/>
      <c r="C497" s="221"/>
      <c r="D497" s="88"/>
      <c r="E497" s="100"/>
      <c r="F497" s="95"/>
      <c r="G497" s="114"/>
      <c r="H497" s="96"/>
      <c r="I497" s="97"/>
      <c r="J497" s="98"/>
      <c r="K497" s="101"/>
      <c r="L497" s="124"/>
      <c r="M497" s="333"/>
      <c r="N497" s="341"/>
      <c r="O497" s="82"/>
      <c r="P497" s="93"/>
      <c r="Q497" s="82"/>
      <c r="R497" s="93"/>
      <c r="S497" s="298"/>
      <c r="T497" s="304"/>
      <c r="U497" s="307"/>
      <c r="V497" s="309"/>
      <c r="W497" s="248"/>
      <c r="X497" s="342"/>
      <c r="Y497" s="336"/>
      <c r="Z497" s="123"/>
      <c r="AA497" s="33"/>
      <c r="AB497" s="123"/>
      <c r="AC497" s="33"/>
      <c r="AD497" s="123"/>
      <c r="AE497" s="33"/>
      <c r="AF497" s="123"/>
      <c r="AG497" s="243"/>
      <c r="AH497" s="33"/>
      <c r="AI497" s="245"/>
      <c r="AJ497" s="125"/>
      <c r="AK497" s="91"/>
      <c r="AL497" s="126"/>
      <c r="AM497" s="91"/>
      <c r="AN497" s="91"/>
      <c r="AO497" s="197">
        <f t="shared" si="31"/>
        <v>0</v>
      </c>
      <c r="AP497" s="126"/>
      <c r="AQ497" s="216"/>
      <c r="AR497" s="127"/>
      <c r="AS497" s="269"/>
      <c r="AT497" s="94"/>
      <c r="AU497" s="84"/>
      <c r="AV497" s="80"/>
      <c r="AW497" s="81"/>
      <c r="AX497" s="77"/>
      <c r="AY497" s="107"/>
      <c r="AZ497" s="220">
        <f t="shared" si="28"/>
        <v>0</v>
      </c>
      <c r="BA497" s="220">
        <f t="shared" si="29"/>
        <v>0</v>
      </c>
    </row>
    <row r="498" spans="1:53" ht="50.1" customHeight="1" x14ac:dyDescent="0.25">
      <c r="A498" s="17">
        <f t="shared" si="30"/>
        <v>484</v>
      </c>
      <c r="B498" s="229"/>
      <c r="C498" s="222"/>
      <c r="D498" s="112"/>
      <c r="E498" s="128"/>
      <c r="F498" s="129"/>
      <c r="G498" s="130"/>
      <c r="H498" s="131"/>
      <c r="I498" s="132"/>
      <c r="J498" s="108"/>
      <c r="K498" s="133"/>
      <c r="L498" s="134"/>
      <c r="M498" s="334"/>
      <c r="N498" s="343"/>
      <c r="O498" s="135"/>
      <c r="P498" s="82"/>
      <c r="Q498" s="135"/>
      <c r="R498" s="82"/>
      <c r="S498" s="299"/>
      <c r="T498" s="305"/>
      <c r="U498" s="298"/>
      <c r="V498" s="304"/>
      <c r="W498" s="249"/>
      <c r="X498" s="344"/>
      <c r="Y498" s="337"/>
      <c r="Z498" s="33"/>
      <c r="AA498" s="83"/>
      <c r="AB498" s="33"/>
      <c r="AC498" s="83"/>
      <c r="AD498" s="33"/>
      <c r="AE498" s="83"/>
      <c r="AF498" s="33"/>
      <c r="AG498" s="244"/>
      <c r="AH498" s="83"/>
      <c r="AI498" s="246"/>
      <c r="AJ498" s="102"/>
      <c r="AK498" s="92"/>
      <c r="AL498" s="91"/>
      <c r="AM498" s="92"/>
      <c r="AN498" s="351"/>
      <c r="AO498" s="197">
        <f t="shared" si="31"/>
        <v>0</v>
      </c>
      <c r="AP498" s="91"/>
      <c r="AQ498" s="217"/>
      <c r="AR498" s="103"/>
      <c r="AS498" s="264"/>
      <c r="AT498" s="94"/>
      <c r="AU498" s="84"/>
      <c r="AV498" s="136"/>
      <c r="AW498" s="77"/>
      <c r="AX498" s="137"/>
      <c r="AY498" s="138"/>
      <c r="AZ498" s="220">
        <f t="shared" si="28"/>
        <v>0</v>
      </c>
      <c r="BA498" s="220">
        <f t="shared" si="29"/>
        <v>0</v>
      </c>
    </row>
    <row r="499" spans="1:53" ht="50.1" customHeight="1" x14ac:dyDescent="0.25">
      <c r="A499" s="17">
        <f t="shared" si="30"/>
        <v>485</v>
      </c>
      <c r="B499" s="228"/>
      <c r="C499" s="221"/>
      <c r="D499" s="88"/>
      <c r="E499" s="100"/>
      <c r="F499" s="95"/>
      <c r="G499" s="114"/>
      <c r="H499" s="96"/>
      <c r="I499" s="97"/>
      <c r="J499" s="98"/>
      <c r="K499" s="101"/>
      <c r="L499" s="124"/>
      <c r="M499" s="333"/>
      <c r="N499" s="341"/>
      <c r="O499" s="82"/>
      <c r="P499" s="93"/>
      <c r="Q499" s="82"/>
      <c r="R499" s="93"/>
      <c r="S499" s="298"/>
      <c r="T499" s="304"/>
      <c r="U499" s="307"/>
      <c r="V499" s="309"/>
      <c r="W499" s="248"/>
      <c r="X499" s="342"/>
      <c r="Y499" s="336"/>
      <c r="Z499" s="123"/>
      <c r="AA499" s="33"/>
      <c r="AB499" s="123"/>
      <c r="AC499" s="33"/>
      <c r="AD499" s="123"/>
      <c r="AE499" s="33"/>
      <c r="AF499" s="123"/>
      <c r="AG499" s="243"/>
      <c r="AH499" s="33"/>
      <c r="AI499" s="245"/>
      <c r="AJ499" s="125"/>
      <c r="AK499" s="91"/>
      <c r="AL499" s="126"/>
      <c r="AM499" s="91"/>
      <c r="AN499" s="91"/>
      <c r="AO499" s="197">
        <f t="shared" si="31"/>
        <v>0</v>
      </c>
      <c r="AP499" s="126"/>
      <c r="AQ499" s="216"/>
      <c r="AR499" s="127"/>
      <c r="AS499" s="269"/>
      <c r="AT499" s="94"/>
      <c r="AU499" s="84"/>
      <c r="AV499" s="80"/>
      <c r="AW499" s="81"/>
      <c r="AX499" s="77"/>
      <c r="AY499" s="107"/>
      <c r="AZ499" s="220">
        <f t="shared" si="28"/>
        <v>0</v>
      </c>
      <c r="BA499" s="220">
        <f t="shared" si="29"/>
        <v>0</v>
      </c>
    </row>
    <row r="500" spans="1:53" ht="50.1" customHeight="1" x14ac:dyDescent="0.25">
      <c r="A500" s="17">
        <f t="shared" si="30"/>
        <v>486</v>
      </c>
      <c r="B500" s="229"/>
      <c r="C500" s="222"/>
      <c r="D500" s="112"/>
      <c r="E500" s="128"/>
      <c r="F500" s="129"/>
      <c r="G500" s="130"/>
      <c r="H500" s="131"/>
      <c r="I500" s="132"/>
      <c r="J500" s="108"/>
      <c r="K500" s="133"/>
      <c r="L500" s="134"/>
      <c r="M500" s="334"/>
      <c r="N500" s="343"/>
      <c r="O500" s="135"/>
      <c r="P500" s="82"/>
      <c r="Q500" s="135"/>
      <c r="R500" s="82"/>
      <c r="S500" s="299"/>
      <c r="T500" s="305"/>
      <c r="U500" s="298"/>
      <c r="V500" s="304"/>
      <c r="W500" s="249"/>
      <c r="X500" s="344"/>
      <c r="Y500" s="337"/>
      <c r="Z500" s="33"/>
      <c r="AA500" s="83"/>
      <c r="AB500" s="33"/>
      <c r="AC500" s="83"/>
      <c r="AD500" s="33"/>
      <c r="AE500" s="83"/>
      <c r="AF500" s="33"/>
      <c r="AG500" s="244"/>
      <c r="AH500" s="83"/>
      <c r="AI500" s="246"/>
      <c r="AJ500" s="102"/>
      <c r="AK500" s="92"/>
      <c r="AL500" s="91"/>
      <c r="AM500" s="92"/>
      <c r="AN500" s="351"/>
      <c r="AO500" s="197">
        <f t="shared" si="31"/>
        <v>0</v>
      </c>
      <c r="AP500" s="91"/>
      <c r="AQ500" s="217"/>
      <c r="AR500" s="103"/>
      <c r="AS500" s="264"/>
      <c r="AT500" s="94"/>
      <c r="AU500" s="84"/>
      <c r="AV500" s="136"/>
      <c r="AW500" s="77"/>
      <c r="AX500" s="137"/>
      <c r="AY500" s="138"/>
      <c r="AZ500" s="220">
        <f t="shared" si="28"/>
        <v>0</v>
      </c>
      <c r="BA500" s="220">
        <f t="shared" si="29"/>
        <v>0</v>
      </c>
    </row>
    <row r="501" spans="1:53" ht="50.1" customHeight="1" x14ac:dyDescent="0.25">
      <c r="A501" s="17">
        <f t="shared" si="30"/>
        <v>487</v>
      </c>
      <c r="B501" s="228"/>
      <c r="C501" s="221"/>
      <c r="D501" s="88"/>
      <c r="E501" s="100"/>
      <c r="F501" s="95"/>
      <c r="G501" s="114"/>
      <c r="H501" s="96"/>
      <c r="I501" s="97"/>
      <c r="J501" s="98"/>
      <c r="K501" s="101"/>
      <c r="L501" s="124"/>
      <c r="M501" s="333"/>
      <c r="N501" s="341"/>
      <c r="O501" s="82"/>
      <c r="P501" s="93"/>
      <c r="Q501" s="82"/>
      <c r="R501" s="93"/>
      <c r="S501" s="298"/>
      <c r="T501" s="304"/>
      <c r="U501" s="307"/>
      <c r="V501" s="309"/>
      <c r="W501" s="248"/>
      <c r="X501" s="342"/>
      <c r="Y501" s="336"/>
      <c r="Z501" s="123"/>
      <c r="AA501" s="33"/>
      <c r="AB501" s="123"/>
      <c r="AC501" s="33"/>
      <c r="AD501" s="123"/>
      <c r="AE501" s="33"/>
      <c r="AF501" s="123"/>
      <c r="AG501" s="243"/>
      <c r="AH501" s="33"/>
      <c r="AI501" s="245"/>
      <c r="AJ501" s="125"/>
      <c r="AK501" s="91"/>
      <c r="AL501" s="126"/>
      <c r="AM501" s="91"/>
      <c r="AN501" s="91"/>
      <c r="AO501" s="197">
        <f t="shared" si="31"/>
        <v>0</v>
      </c>
      <c r="AP501" s="126"/>
      <c r="AQ501" s="216"/>
      <c r="AR501" s="127"/>
      <c r="AS501" s="269"/>
      <c r="AT501" s="94"/>
      <c r="AU501" s="84"/>
      <c r="AV501" s="80"/>
      <c r="AW501" s="81"/>
      <c r="AX501" s="77"/>
      <c r="AY501" s="107"/>
      <c r="AZ501" s="220">
        <f t="shared" si="28"/>
        <v>0</v>
      </c>
      <c r="BA501" s="220">
        <f t="shared" si="29"/>
        <v>0</v>
      </c>
    </row>
    <row r="502" spans="1:53" ht="50.1" customHeight="1" x14ac:dyDescent="0.25">
      <c r="A502" s="17">
        <f t="shared" si="30"/>
        <v>488</v>
      </c>
      <c r="B502" s="229"/>
      <c r="C502" s="222"/>
      <c r="D502" s="112"/>
      <c r="E502" s="128"/>
      <c r="F502" s="129"/>
      <c r="G502" s="130"/>
      <c r="H502" s="131"/>
      <c r="I502" s="132"/>
      <c r="J502" s="108"/>
      <c r="K502" s="133"/>
      <c r="L502" s="134"/>
      <c r="M502" s="334"/>
      <c r="N502" s="343"/>
      <c r="O502" s="135"/>
      <c r="P502" s="82"/>
      <c r="Q502" s="135"/>
      <c r="R502" s="82"/>
      <c r="S502" s="299"/>
      <c r="T502" s="305"/>
      <c r="U502" s="298"/>
      <c r="V502" s="304"/>
      <c r="W502" s="249"/>
      <c r="X502" s="344"/>
      <c r="Y502" s="337"/>
      <c r="Z502" s="33"/>
      <c r="AA502" s="83"/>
      <c r="AB502" s="33"/>
      <c r="AC502" s="83"/>
      <c r="AD502" s="33"/>
      <c r="AE502" s="83"/>
      <c r="AF502" s="33"/>
      <c r="AG502" s="244"/>
      <c r="AH502" s="83"/>
      <c r="AI502" s="246"/>
      <c r="AJ502" s="102"/>
      <c r="AK502" s="92"/>
      <c r="AL502" s="91"/>
      <c r="AM502" s="92"/>
      <c r="AN502" s="351"/>
      <c r="AO502" s="197">
        <f t="shared" si="31"/>
        <v>0</v>
      </c>
      <c r="AP502" s="91"/>
      <c r="AQ502" s="217"/>
      <c r="AR502" s="103"/>
      <c r="AS502" s="264"/>
      <c r="AT502" s="94"/>
      <c r="AU502" s="84"/>
      <c r="AV502" s="136"/>
      <c r="AW502" s="77"/>
      <c r="AX502" s="137"/>
      <c r="AY502" s="138"/>
      <c r="AZ502" s="220">
        <f t="shared" si="28"/>
        <v>0</v>
      </c>
      <c r="BA502" s="220">
        <f t="shared" si="29"/>
        <v>0</v>
      </c>
    </row>
    <row r="503" spans="1:53" ht="50.1" customHeight="1" x14ac:dyDescent="0.25">
      <c r="A503" s="17">
        <f t="shared" si="30"/>
        <v>489</v>
      </c>
      <c r="B503" s="228"/>
      <c r="C503" s="221"/>
      <c r="D503" s="88"/>
      <c r="E503" s="100"/>
      <c r="F503" s="95"/>
      <c r="G503" s="114"/>
      <c r="H503" s="96"/>
      <c r="I503" s="97"/>
      <c r="J503" s="98"/>
      <c r="K503" s="101"/>
      <c r="L503" s="124"/>
      <c r="M503" s="333"/>
      <c r="N503" s="341"/>
      <c r="O503" s="82"/>
      <c r="P503" s="93"/>
      <c r="Q503" s="82"/>
      <c r="R503" s="93"/>
      <c r="S503" s="298"/>
      <c r="T503" s="304"/>
      <c r="U503" s="307"/>
      <c r="V503" s="309"/>
      <c r="W503" s="248"/>
      <c r="X503" s="342"/>
      <c r="Y503" s="336"/>
      <c r="Z503" s="123"/>
      <c r="AA503" s="33"/>
      <c r="AB503" s="123"/>
      <c r="AC503" s="33"/>
      <c r="AD503" s="123"/>
      <c r="AE503" s="33"/>
      <c r="AF503" s="123"/>
      <c r="AG503" s="243"/>
      <c r="AH503" s="33"/>
      <c r="AI503" s="245"/>
      <c r="AJ503" s="125"/>
      <c r="AK503" s="91"/>
      <c r="AL503" s="126"/>
      <c r="AM503" s="91"/>
      <c r="AN503" s="91"/>
      <c r="AO503" s="197">
        <f t="shared" si="31"/>
        <v>0</v>
      </c>
      <c r="AP503" s="126"/>
      <c r="AQ503" s="216"/>
      <c r="AR503" s="127"/>
      <c r="AS503" s="269"/>
      <c r="AT503" s="94"/>
      <c r="AU503" s="84"/>
      <c r="AV503" s="80"/>
      <c r="AW503" s="81"/>
      <c r="AX503" s="77"/>
      <c r="AY503" s="107"/>
      <c r="AZ503" s="220">
        <f t="shared" si="28"/>
        <v>0</v>
      </c>
      <c r="BA503" s="220">
        <f t="shared" si="29"/>
        <v>0</v>
      </c>
    </row>
    <row r="504" spans="1:53" ht="50.1" customHeight="1" x14ac:dyDescent="0.25">
      <c r="A504" s="17">
        <f t="shared" si="30"/>
        <v>490</v>
      </c>
      <c r="B504" s="229"/>
      <c r="C504" s="222"/>
      <c r="D504" s="112"/>
      <c r="E504" s="128"/>
      <c r="F504" s="129"/>
      <c r="G504" s="130"/>
      <c r="H504" s="131"/>
      <c r="I504" s="132"/>
      <c r="J504" s="108"/>
      <c r="K504" s="133"/>
      <c r="L504" s="134"/>
      <c r="M504" s="334"/>
      <c r="N504" s="343"/>
      <c r="O504" s="135"/>
      <c r="P504" s="82"/>
      <c r="Q504" s="135"/>
      <c r="R504" s="82"/>
      <c r="S504" s="299"/>
      <c r="T504" s="305"/>
      <c r="U504" s="298"/>
      <c r="V504" s="304"/>
      <c r="W504" s="249"/>
      <c r="X504" s="344"/>
      <c r="Y504" s="337"/>
      <c r="Z504" s="33"/>
      <c r="AA504" s="83"/>
      <c r="AB504" s="33"/>
      <c r="AC504" s="83"/>
      <c r="AD504" s="33"/>
      <c r="AE504" s="83"/>
      <c r="AF504" s="33"/>
      <c r="AG504" s="244"/>
      <c r="AH504" s="83"/>
      <c r="AI504" s="246"/>
      <c r="AJ504" s="102"/>
      <c r="AK504" s="92"/>
      <c r="AL504" s="91"/>
      <c r="AM504" s="92"/>
      <c r="AN504" s="351"/>
      <c r="AO504" s="197">
        <f t="shared" si="31"/>
        <v>0</v>
      </c>
      <c r="AP504" s="91"/>
      <c r="AQ504" s="217"/>
      <c r="AR504" s="103"/>
      <c r="AS504" s="264"/>
      <c r="AT504" s="94"/>
      <c r="AU504" s="84"/>
      <c r="AV504" s="136"/>
      <c r="AW504" s="77"/>
      <c r="AX504" s="137"/>
      <c r="AY504" s="138"/>
      <c r="AZ504" s="220">
        <f t="shared" si="28"/>
        <v>0</v>
      </c>
      <c r="BA504" s="220">
        <f t="shared" si="29"/>
        <v>0</v>
      </c>
    </row>
    <row r="505" spans="1:53" ht="50.1" customHeight="1" x14ac:dyDescent="0.25">
      <c r="A505" s="17">
        <f t="shared" si="30"/>
        <v>491</v>
      </c>
      <c r="B505" s="228"/>
      <c r="C505" s="221"/>
      <c r="D505" s="88"/>
      <c r="E505" s="100"/>
      <c r="F505" s="95"/>
      <c r="G505" s="114"/>
      <c r="H505" s="96"/>
      <c r="I505" s="97"/>
      <c r="J505" s="98"/>
      <c r="K505" s="101"/>
      <c r="L505" s="124"/>
      <c r="M505" s="333"/>
      <c r="N505" s="346"/>
      <c r="O505" s="82"/>
      <c r="P505" s="93"/>
      <c r="Q505" s="82"/>
      <c r="R505" s="93"/>
      <c r="S505" s="298"/>
      <c r="T505" s="304"/>
      <c r="U505" s="307"/>
      <c r="V505" s="309"/>
      <c r="W505" s="248"/>
      <c r="X505" s="342"/>
      <c r="Y505" s="336"/>
      <c r="Z505" s="123"/>
      <c r="AA505" s="33"/>
      <c r="AB505" s="123"/>
      <c r="AC505" s="33"/>
      <c r="AD505" s="123"/>
      <c r="AE505" s="33"/>
      <c r="AF505" s="123"/>
      <c r="AG505" s="243"/>
      <c r="AH505" s="33"/>
      <c r="AI505" s="245"/>
      <c r="AJ505" s="125"/>
      <c r="AK505" s="91"/>
      <c r="AL505" s="126"/>
      <c r="AM505" s="91"/>
      <c r="AN505" s="91"/>
      <c r="AO505" s="197">
        <f t="shared" si="31"/>
        <v>0</v>
      </c>
      <c r="AP505" s="126"/>
      <c r="AQ505" s="216"/>
      <c r="AR505" s="127"/>
      <c r="AS505" s="269"/>
      <c r="AT505" s="94"/>
      <c r="AU505" s="84"/>
      <c r="AV505" s="80"/>
      <c r="AW505" s="81"/>
      <c r="AX505" s="77"/>
      <c r="AY505" s="107"/>
      <c r="AZ505" s="220">
        <f t="shared" si="28"/>
        <v>0</v>
      </c>
      <c r="BA505" s="220">
        <f t="shared" si="29"/>
        <v>0</v>
      </c>
    </row>
    <row r="506" spans="1:53" ht="50.1" customHeight="1" x14ac:dyDescent="0.25">
      <c r="A506" s="17">
        <f t="shared" si="30"/>
        <v>492</v>
      </c>
      <c r="B506" s="229"/>
      <c r="C506" s="222"/>
      <c r="D506" s="112"/>
      <c r="E506" s="128"/>
      <c r="F506" s="129"/>
      <c r="G506" s="130"/>
      <c r="H506" s="131"/>
      <c r="I506" s="132"/>
      <c r="J506" s="108"/>
      <c r="K506" s="133"/>
      <c r="L506" s="134"/>
      <c r="M506" s="334"/>
      <c r="N506" s="343"/>
      <c r="O506" s="135"/>
      <c r="P506" s="82"/>
      <c r="Q506" s="135"/>
      <c r="R506" s="82"/>
      <c r="S506" s="299"/>
      <c r="T506" s="305"/>
      <c r="U506" s="298"/>
      <c r="V506" s="304"/>
      <c r="W506" s="249"/>
      <c r="X506" s="344"/>
      <c r="Y506" s="337"/>
      <c r="Z506" s="33"/>
      <c r="AA506" s="83"/>
      <c r="AB506" s="33"/>
      <c r="AC506" s="83"/>
      <c r="AD506" s="33"/>
      <c r="AE506" s="83"/>
      <c r="AF506" s="33"/>
      <c r="AG506" s="244"/>
      <c r="AH506" s="83"/>
      <c r="AI506" s="246"/>
      <c r="AJ506" s="102"/>
      <c r="AK506" s="92"/>
      <c r="AL506" s="91"/>
      <c r="AM506" s="92"/>
      <c r="AN506" s="351"/>
      <c r="AO506" s="197">
        <f t="shared" si="31"/>
        <v>0</v>
      </c>
      <c r="AP506" s="91"/>
      <c r="AQ506" s="217"/>
      <c r="AR506" s="103"/>
      <c r="AS506" s="264"/>
      <c r="AT506" s="94"/>
      <c r="AU506" s="84"/>
      <c r="AV506" s="136"/>
      <c r="AW506" s="77"/>
      <c r="AX506" s="137"/>
      <c r="AY506" s="138"/>
      <c r="AZ506" s="220">
        <f t="shared" si="28"/>
        <v>0</v>
      </c>
      <c r="BA506" s="220">
        <f t="shared" si="29"/>
        <v>0</v>
      </c>
    </row>
    <row r="507" spans="1:53" ht="50.1" customHeight="1" x14ac:dyDescent="0.25">
      <c r="A507" s="17">
        <f t="shared" si="30"/>
        <v>493</v>
      </c>
      <c r="B507" s="228"/>
      <c r="C507" s="221"/>
      <c r="D507" s="88"/>
      <c r="E507" s="100"/>
      <c r="F507" s="95"/>
      <c r="G507" s="114"/>
      <c r="H507" s="96"/>
      <c r="I507" s="97"/>
      <c r="J507" s="98"/>
      <c r="K507" s="101"/>
      <c r="L507" s="124"/>
      <c r="M507" s="333"/>
      <c r="N507" s="341"/>
      <c r="O507" s="82"/>
      <c r="P507" s="93"/>
      <c r="Q507" s="82"/>
      <c r="R507" s="93"/>
      <c r="S507" s="298"/>
      <c r="T507" s="304"/>
      <c r="U507" s="307"/>
      <c r="V507" s="309"/>
      <c r="W507" s="248"/>
      <c r="X507" s="342"/>
      <c r="Y507" s="336"/>
      <c r="Z507" s="123"/>
      <c r="AA507" s="33"/>
      <c r="AB507" s="123"/>
      <c r="AC507" s="33"/>
      <c r="AD507" s="123"/>
      <c r="AE507" s="33"/>
      <c r="AF507" s="123"/>
      <c r="AG507" s="243"/>
      <c r="AH507" s="33"/>
      <c r="AI507" s="245"/>
      <c r="AJ507" s="125"/>
      <c r="AK507" s="91"/>
      <c r="AL507" s="126"/>
      <c r="AM507" s="91"/>
      <c r="AN507" s="91"/>
      <c r="AO507" s="197">
        <f t="shared" si="31"/>
        <v>0</v>
      </c>
      <c r="AP507" s="126"/>
      <c r="AQ507" s="216"/>
      <c r="AR507" s="127"/>
      <c r="AS507" s="269"/>
      <c r="AT507" s="94"/>
      <c r="AU507" s="84"/>
      <c r="AV507" s="80"/>
      <c r="AW507" s="81"/>
      <c r="AX507" s="77"/>
      <c r="AY507" s="107"/>
      <c r="AZ507" s="220">
        <f t="shared" si="28"/>
        <v>0</v>
      </c>
      <c r="BA507" s="220">
        <f t="shared" si="29"/>
        <v>0</v>
      </c>
    </row>
    <row r="508" spans="1:53" ht="50.1" customHeight="1" x14ac:dyDescent="0.25">
      <c r="A508" s="17">
        <f t="shared" si="30"/>
        <v>494</v>
      </c>
      <c r="B508" s="229"/>
      <c r="C508" s="222"/>
      <c r="D508" s="112"/>
      <c r="E508" s="128"/>
      <c r="F508" s="129"/>
      <c r="G508" s="130"/>
      <c r="H508" s="131"/>
      <c r="I508" s="132"/>
      <c r="J508" s="108"/>
      <c r="K508" s="133"/>
      <c r="L508" s="134"/>
      <c r="M508" s="334"/>
      <c r="N508" s="343"/>
      <c r="O508" s="135"/>
      <c r="P508" s="82"/>
      <c r="Q508" s="135"/>
      <c r="R508" s="82"/>
      <c r="S508" s="299"/>
      <c r="T508" s="305"/>
      <c r="U508" s="298"/>
      <c r="V508" s="304"/>
      <c r="W508" s="249"/>
      <c r="X508" s="344"/>
      <c r="Y508" s="337"/>
      <c r="Z508" s="33"/>
      <c r="AA508" s="83"/>
      <c r="AB508" s="33"/>
      <c r="AC508" s="83"/>
      <c r="AD508" s="33"/>
      <c r="AE508" s="83"/>
      <c r="AF508" s="33"/>
      <c r="AG508" s="244"/>
      <c r="AH508" s="83"/>
      <c r="AI508" s="246"/>
      <c r="AJ508" s="102"/>
      <c r="AK508" s="92"/>
      <c r="AL508" s="91"/>
      <c r="AM508" s="92"/>
      <c r="AN508" s="351"/>
      <c r="AO508" s="197">
        <f t="shared" si="31"/>
        <v>0</v>
      </c>
      <c r="AP508" s="91"/>
      <c r="AQ508" s="217"/>
      <c r="AR508" s="103"/>
      <c r="AS508" s="264"/>
      <c r="AT508" s="94"/>
      <c r="AU508" s="84"/>
      <c r="AV508" s="136"/>
      <c r="AW508" s="77"/>
      <c r="AX508" s="137"/>
      <c r="AY508" s="138"/>
      <c r="AZ508" s="220">
        <f t="shared" si="28"/>
        <v>0</v>
      </c>
      <c r="BA508" s="220">
        <f t="shared" si="29"/>
        <v>0</v>
      </c>
    </row>
    <row r="509" spans="1:53" ht="50.1" customHeight="1" x14ac:dyDescent="0.25">
      <c r="A509" s="17">
        <f t="shared" si="30"/>
        <v>495</v>
      </c>
      <c r="B509" s="228"/>
      <c r="C509" s="221"/>
      <c r="D509" s="88"/>
      <c r="E509" s="100"/>
      <c r="F509" s="95"/>
      <c r="G509" s="114"/>
      <c r="H509" s="96"/>
      <c r="I509" s="97"/>
      <c r="J509" s="98"/>
      <c r="K509" s="101"/>
      <c r="L509" s="124"/>
      <c r="M509" s="333"/>
      <c r="N509" s="341"/>
      <c r="O509" s="82"/>
      <c r="P509" s="93"/>
      <c r="Q509" s="82"/>
      <c r="R509" s="93"/>
      <c r="S509" s="298"/>
      <c r="T509" s="304"/>
      <c r="U509" s="307"/>
      <c r="V509" s="309"/>
      <c r="W509" s="248"/>
      <c r="X509" s="342"/>
      <c r="Y509" s="336"/>
      <c r="Z509" s="123"/>
      <c r="AA509" s="33"/>
      <c r="AB509" s="123"/>
      <c r="AC509" s="33"/>
      <c r="AD509" s="123"/>
      <c r="AE509" s="33"/>
      <c r="AF509" s="123"/>
      <c r="AG509" s="243"/>
      <c r="AH509" s="33"/>
      <c r="AI509" s="245"/>
      <c r="AJ509" s="125"/>
      <c r="AK509" s="91"/>
      <c r="AL509" s="126"/>
      <c r="AM509" s="91"/>
      <c r="AN509" s="91"/>
      <c r="AO509" s="197">
        <f t="shared" si="31"/>
        <v>0</v>
      </c>
      <c r="AP509" s="126"/>
      <c r="AQ509" s="216"/>
      <c r="AR509" s="127"/>
      <c r="AS509" s="269"/>
      <c r="AT509" s="94"/>
      <c r="AU509" s="84"/>
      <c r="AV509" s="80"/>
      <c r="AW509" s="81"/>
      <c r="AX509" s="77"/>
      <c r="AY509" s="107"/>
      <c r="AZ509" s="220">
        <f t="shared" si="28"/>
        <v>0</v>
      </c>
      <c r="BA509" s="220">
        <f t="shared" si="29"/>
        <v>0</v>
      </c>
    </row>
    <row r="510" spans="1:53" ht="50.1" customHeight="1" x14ac:dyDescent="0.25">
      <c r="A510" s="17">
        <f t="shared" si="30"/>
        <v>496</v>
      </c>
      <c r="B510" s="229"/>
      <c r="C510" s="222"/>
      <c r="D510" s="112"/>
      <c r="E510" s="128"/>
      <c r="F510" s="129"/>
      <c r="G510" s="130"/>
      <c r="H510" s="131"/>
      <c r="I510" s="132"/>
      <c r="J510" s="108"/>
      <c r="K510" s="133"/>
      <c r="L510" s="134"/>
      <c r="M510" s="334"/>
      <c r="N510" s="343"/>
      <c r="O510" s="135"/>
      <c r="P510" s="82"/>
      <c r="Q510" s="135"/>
      <c r="R510" s="82"/>
      <c r="S510" s="299"/>
      <c r="T510" s="305"/>
      <c r="U510" s="298"/>
      <c r="V510" s="304"/>
      <c r="W510" s="249"/>
      <c r="X510" s="344"/>
      <c r="Y510" s="337"/>
      <c r="Z510" s="33"/>
      <c r="AA510" s="83"/>
      <c r="AB510" s="33"/>
      <c r="AC510" s="83"/>
      <c r="AD510" s="33"/>
      <c r="AE510" s="83"/>
      <c r="AF510" s="33"/>
      <c r="AG510" s="244"/>
      <c r="AH510" s="83"/>
      <c r="AI510" s="246"/>
      <c r="AJ510" s="102"/>
      <c r="AK510" s="92"/>
      <c r="AL510" s="91"/>
      <c r="AM510" s="92"/>
      <c r="AN510" s="351"/>
      <c r="AO510" s="197">
        <f t="shared" si="31"/>
        <v>0</v>
      </c>
      <c r="AP510" s="91"/>
      <c r="AQ510" s="217"/>
      <c r="AR510" s="103"/>
      <c r="AS510" s="264"/>
      <c r="AT510" s="94"/>
      <c r="AU510" s="84"/>
      <c r="AV510" s="136"/>
      <c r="AW510" s="77"/>
      <c r="AX510" s="137"/>
      <c r="AY510" s="138"/>
      <c r="AZ510" s="220">
        <f t="shared" si="28"/>
        <v>0</v>
      </c>
      <c r="BA510" s="220">
        <f t="shared" si="29"/>
        <v>0</v>
      </c>
    </row>
    <row r="511" spans="1:53" ht="50.1" customHeight="1" x14ac:dyDescent="0.25">
      <c r="A511" s="17">
        <f t="shared" si="30"/>
        <v>497</v>
      </c>
      <c r="B511" s="228"/>
      <c r="C511" s="221"/>
      <c r="D511" s="88"/>
      <c r="E511" s="100"/>
      <c r="F511" s="95"/>
      <c r="G511" s="114"/>
      <c r="H511" s="96"/>
      <c r="I511" s="97"/>
      <c r="J511" s="98"/>
      <c r="K511" s="101"/>
      <c r="L511" s="124"/>
      <c r="M511" s="333"/>
      <c r="N511" s="341"/>
      <c r="O511" s="82"/>
      <c r="P511" s="93"/>
      <c r="Q511" s="82"/>
      <c r="R511" s="93"/>
      <c r="S511" s="298"/>
      <c r="T511" s="304"/>
      <c r="U511" s="307"/>
      <c r="V511" s="309"/>
      <c r="W511" s="248"/>
      <c r="X511" s="342"/>
      <c r="Y511" s="336"/>
      <c r="Z511" s="123"/>
      <c r="AA511" s="33"/>
      <c r="AB511" s="123"/>
      <c r="AC511" s="33"/>
      <c r="AD511" s="123"/>
      <c r="AE511" s="33"/>
      <c r="AF511" s="123"/>
      <c r="AG511" s="243"/>
      <c r="AH511" s="33"/>
      <c r="AI511" s="245"/>
      <c r="AJ511" s="125"/>
      <c r="AK511" s="91"/>
      <c r="AL511" s="126"/>
      <c r="AM511" s="91"/>
      <c r="AN511" s="91"/>
      <c r="AO511" s="197">
        <f t="shared" si="31"/>
        <v>0</v>
      </c>
      <c r="AP511" s="126"/>
      <c r="AQ511" s="216"/>
      <c r="AR511" s="127"/>
      <c r="AS511" s="269"/>
      <c r="AT511" s="94"/>
      <c r="AU511" s="84"/>
      <c r="AV511" s="80"/>
      <c r="AW511" s="81"/>
      <c r="AX511" s="77"/>
      <c r="AY511" s="107"/>
      <c r="AZ511" s="220">
        <f t="shared" si="28"/>
        <v>0</v>
      </c>
      <c r="BA511" s="220">
        <f t="shared" si="29"/>
        <v>0</v>
      </c>
    </row>
    <row r="512" spans="1:53" ht="50.1" customHeight="1" x14ac:dyDescent="0.25">
      <c r="A512" s="17">
        <f t="shared" si="30"/>
        <v>498</v>
      </c>
      <c r="B512" s="229"/>
      <c r="C512" s="222"/>
      <c r="D512" s="112"/>
      <c r="E512" s="128"/>
      <c r="F512" s="129"/>
      <c r="G512" s="130"/>
      <c r="H512" s="131"/>
      <c r="I512" s="132"/>
      <c r="J512" s="108"/>
      <c r="K512" s="133"/>
      <c r="L512" s="134"/>
      <c r="M512" s="334"/>
      <c r="N512" s="343"/>
      <c r="O512" s="135"/>
      <c r="P512" s="82"/>
      <c r="Q512" s="135"/>
      <c r="R512" s="82"/>
      <c r="S512" s="299"/>
      <c r="T512" s="305"/>
      <c r="U512" s="298"/>
      <c r="V512" s="304"/>
      <c r="W512" s="249"/>
      <c r="X512" s="344"/>
      <c r="Y512" s="337"/>
      <c r="Z512" s="33"/>
      <c r="AA512" s="83"/>
      <c r="AB512" s="33"/>
      <c r="AC512" s="83"/>
      <c r="AD512" s="33"/>
      <c r="AE512" s="83"/>
      <c r="AF512" s="33"/>
      <c r="AG512" s="244"/>
      <c r="AH512" s="83"/>
      <c r="AI512" s="246"/>
      <c r="AJ512" s="102"/>
      <c r="AK512" s="92"/>
      <c r="AL512" s="91"/>
      <c r="AM512" s="92"/>
      <c r="AN512" s="351"/>
      <c r="AO512" s="197">
        <f t="shared" si="31"/>
        <v>0</v>
      </c>
      <c r="AP512" s="91"/>
      <c r="AQ512" s="217"/>
      <c r="AR512" s="103"/>
      <c r="AS512" s="264"/>
      <c r="AT512" s="94"/>
      <c r="AU512" s="84"/>
      <c r="AV512" s="136"/>
      <c r="AW512" s="77"/>
      <c r="AX512" s="137"/>
      <c r="AY512" s="138"/>
      <c r="AZ512" s="220">
        <f t="shared" si="28"/>
        <v>0</v>
      </c>
      <c r="BA512" s="220">
        <f t="shared" si="29"/>
        <v>0</v>
      </c>
    </row>
    <row r="513" spans="1:53" ht="50.1" customHeight="1" x14ac:dyDescent="0.25">
      <c r="A513" s="17">
        <f t="shared" si="30"/>
        <v>499</v>
      </c>
      <c r="B513" s="228"/>
      <c r="C513" s="221"/>
      <c r="D513" s="88"/>
      <c r="E513" s="100"/>
      <c r="F513" s="95"/>
      <c r="G513" s="114"/>
      <c r="H513" s="96"/>
      <c r="I513" s="97"/>
      <c r="J513" s="98"/>
      <c r="K513" s="101"/>
      <c r="L513" s="124"/>
      <c r="M513" s="333"/>
      <c r="N513" s="341"/>
      <c r="O513" s="82"/>
      <c r="P513" s="93"/>
      <c r="Q513" s="82"/>
      <c r="R513" s="93"/>
      <c r="S513" s="298"/>
      <c r="T513" s="304"/>
      <c r="U513" s="307"/>
      <c r="V513" s="309"/>
      <c r="W513" s="248"/>
      <c r="X513" s="342"/>
      <c r="Y513" s="336"/>
      <c r="Z513" s="123"/>
      <c r="AA513" s="33"/>
      <c r="AB513" s="123"/>
      <c r="AC513" s="33"/>
      <c r="AD513" s="123"/>
      <c r="AE513" s="33"/>
      <c r="AF513" s="123"/>
      <c r="AG513" s="243"/>
      <c r="AH513" s="33"/>
      <c r="AI513" s="245"/>
      <c r="AJ513" s="125"/>
      <c r="AK513" s="91"/>
      <c r="AL513" s="126"/>
      <c r="AM513" s="91"/>
      <c r="AN513" s="91"/>
      <c r="AO513" s="197">
        <f t="shared" si="31"/>
        <v>0</v>
      </c>
      <c r="AP513" s="126"/>
      <c r="AQ513" s="216"/>
      <c r="AR513" s="127"/>
      <c r="AS513" s="269"/>
      <c r="AT513" s="94"/>
      <c r="AU513" s="84"/>
      <c r="AV513" s="80"/>
      <c r="AW513" s="81"/>
      <c r="AX513" s="77"/>
      <c r="AY513" s="107"/>
      <c r="AZ513" s="220">
        <f t="shared" si="28"/>
        <v>0</v>
      </c>
      <c r="BA513" s="220">
        <f t="shared" si="29"/>
        <v>0</v>
      </c>
    </row>
    <row r="514" spans="1:53" ht="50.1" customHeight="1" x14ac:dyDescent="0.25">
      <c r="A514" s="17">
        <f t="shared" si="30"/>
        <v>500</v>
      </c>
      <c r="B514" s="229"/>
      <c r="C514" s="222"/>
      <c r="D514" s="112"/>
      <c r="E514" s="128"/>
      <c r="F514" s="129"/>
      <c r="G514" s="130"/>
      <c r="H514" s="131"/>
      <c r="I514" s="132"/>
      <c r="J514" s="108"/>
      <c r="K514" s="133"/>
      <c r="L514" s="134"/>
      <c r="M514" s="334"/>
      <c r="N514" s="343"/>
      <c r="O514" s="135"/>
      <c r="P514" s="82"/>
      <c r="Q514" s="135"/>
      <c r="R514" s="82"/>
      <c r="S514" s="299"/>
      <c r="T514" s="305"/>
      <c r="U514" s="298"/>
      <c r="V514" s="304"/>
      <c r="W514" s="249"/>
      <c r="X514" s="344"/>
      <c r="Y514" s="337"/>
      <c r="Z514" s="33"/>
      <c r="AA514" s="83"/>
      <c r="AB514" s="33"/>
      <c r="AC514" s="83"/>
      <c r="AD514" s="33"/>
      <c r="AE514" s="83"/>
      <c r="AF514" s="33"/>
      <c r="AG514" s="244"/>
      <c r="AH514" s="83"/>
      <c r="AI514" s="246"/>
      <c r="AJ514" s="102"/>
      <c r="AK514" s="92"/>
      <c r="AL514" s="91"/>
      <c r="AM514" s="92"/>
      <c r="AN514" s="351"/>
      <c r="AO514" s="197">
        <f t="shared" si="31"/>
        <v>0</v>
      </c>
      <c r="AP514" s="91"/>
      <c r="AQ514" s="217"/>
      <c r="AR514" s="103"/>
      <c r="AS514" s="264"/>
      <c r="AT514" s="94"/>
      <c r="AU514" s="84"/>
      <c r="AV514" s="136"/>
      <c r="AW514" s="77"/>
      <c r="AX514" s="137"/>
      <c r="AY514" s="138"/>
      <c r="AZ514" s="220">
        <f t="shared" si="28"/>
        <v>0</v>
      </c>
      <c r="BA514" s="220">
        <f t="shared" si="29"/>
        <v>0</v>
      </c>
    </row>
    <row r="515" spans="1:53" ht="50.1" customHeight="1" x14ac:dyDescent="0.25">
      <c r="A515" s="17">
        <f t="shared" si="30"/>
        <v>501</v>
      </c>
      <c r="B515" s="228"/>
      <c r="C515" s="221"/>
      <c r="D515" s="88"/>
      <c r="E515" s="100"/>
      <c r="F515" s="95"/>
      <c r="G515" s="114"/>
      <c r="H515" s="96"/>
      <c r="I515" s="97"/>
      <c r="J515" s="98"/>
      <c r="K515" s="101"/>
      <c r="L515" s="124"/>
      <c r="M515" s="333"/>
      <c r="N515" s="341"/>
      <c r="O515" s="82"/>
      <c r="P515" s="93"/>
      <c r="Q515" s="82"/>
      <c r="R515" s="93"/>
      <c r="S515" s="298"/>
      <c r="T515" s="304"/>
      <c r="U515" s="307"/>
      <c r="V515" s="309"/>
      <c r="W515" s="248"/>
      <c r="X515" s="342"/>
      <c r="Y515" s="336"/>
      <c r="Z515" s="123"/>
      <c r="AA515" s="33"/>
      <c r="AB515" s="123"/>
      <c r="AC515" s="33"/>
      <c r="AD515" s="123"/>
      <c r="AE515" s="33"/>
      <c r="AF515" s="123"/>
      <c r="AG515" s="243"/>
      <c r="AH515" s="33"/>
      <c r="AI515" s="245"/>
      <c r="AJ515" s="125"/>
      <c r="AK515" s="91"/>
      <c r="AL515" s="126"/>
      <c r="AM515" s="91"/>
      <c r="AN515" s="91"/>
      <c r="AO515" s="197">
        <f t="shared" si="31"/>
        <v>0</v>
      </c>
      <c r="AP515" s="126"/>
      <c r="AQ515" s="216"/>
      <c r="AR515" s="127"/>
      <c r="AS515" s="269"/>
      <c r="AT515" s="94"/>
      <c r="AU515" s="84"/>
      <c r="AV515" s="80"/>
      <c r="AW515" s="81"/>
      <c r="AX515" s="77"/>
      <c r="AY515" s="107"/>
      <c r="AZ515" s="220">
        <f t="shared" si="28"/>
        <v>0</v>
      </c>
      <c r="BA515" s="220">
        <f t="shared" si="29"/>
        <v>0</v>
      </c>
    </row>
    <row r="516" spans="1:53" ht="50.1" customHeight="1" x14ac:dyDescent="0.25">
      <c r="A516" s="17">
        <f t="shared" si="30"/>
        <v>502</v>
      </c>
      <c r="B516" s="229"/>
      <c r="C516" s="222"/>
      <c r="D516" s="112"/>
      <c r="E516" s="128"/>
      <c r="F516" s="129"/>
      <c r="G516" s="130"/>
      <c r="H516" s="131"/>
      <c r="I516" s="132"/>
      <c r="J516" s="108"/>
      <c r="K516" s="133"/>
      <c r="L516" s="134"/>
      <c r="M516" s="334"/>
      <c r="N516" s="343"/>
      <c r="O516" s="135"/>
      <c r="P516" s="82"/>
      <c r="Q516" s="135"/>
      <c r="R516" s="82"/>
      <c r="S516" s="299"/>
      <c r="T516" s="305"/>
      <c r="U516" s="298"/>
      <c r="V516" s="304"/>
      <c r="W516" s="249"/>
      <c r="X516" s="344"/>
      <c r="Y516" s="337"/>
      <c r="Z516" s="33"/>
      <c r="AA516" s="83"/>
      <c r="AB516" s="33"/>
      <c r="AC516" s="83"/>
      <c r="AD516" s="33"/>
      <c r="AE516" s="83"/>
      <c r="AF516" s="33"/>
      <c r="AG516" s="244"/>
      <c r="AH516" s="83"/>
      <c r="AI516" s="246"/>
      <c r="AJ516" s="102"/>
      <c r="AK516" s="92"/>
      <c r="AL516" s="91"/>
      <c r="AM516" s="92"/>
      <c r="AN516" s="351"/>
      <c r="AO516" s="197">
        <f t="shared" si="31"/>
        <v>0</v>
      </c>
      <c r="AP516" s="91"/>
      <c r="AQ516" s="217"/>
      <c r="AR516" s="103"/>
      <c r="AS516" s="264"/>
      <c r="AT516" s="94"/>
      <c r="AU516" s="84"/>
      <c r="AV516" s="136"/>
      <c r="AW516" s="77"/>
      <c r="AX516" s="137"/>
      <c r="AY516" s="138"/>
      <c r="AZ516" s="220">
        <f t="shared" si="28"/>
        <v>0</v>
      </c>
      <c r="BA516" s="220">
        <f t="shared" si="29"/>
        <v>0</v>
      </c>
    </row>
    <row r="517" spans="1:53" ht="50.1" customHeight="1" x14ac:dyDescent="0.25">
      <c r="A517" s="17">
        <f t="shared" si="30"/>
        <v>503</v>
      </c>
      <c r="B517" s="228"/>
      <c r="C517" s="221"/>
      <c r="D517" s="88"/>
      <c r="E517" s="100"/>
      <c r="F517" s="95"/>
      <c r="G517" s="114"/>
      <c r="H517" s="96"/>
      <c r="I517" s="97"/>
      <c r="J517" s="98"/>
      <c r="K517" s="101"/>
      <c r="L517" s="124"/>
      <c r="M517" s="333"/>
      <c r="N517" s="341"/>
      <c r="O517" s="82"/>
      <c r="P517" s="93"/>
      <c r="Q517" s="82"/>
      <c r="R517" s="93"/>
      <c r="S517" s="298"/>
      <c r="T517" s="304"/>
      <c r="U517" s="307"/>
      <c r="V517" s="309"/>
      <c r="W517" s="248"/>
      <c r="X517" s="342"/>
      <c r="Y517" s="336"/>
      <c r="Z517" s="123"/>
      <c r="AA517" s="33"/>
      <c r="AB517" s="123"/>
      <c r="AC517" s="33"/>
      <c r="AD517" s="123"/>
      <c r="AE517" s="33"/>
      <c r="AF517" s="123"/>
      <c r="AG517" s="243"/>
      <c r="AH517" s="33"/>
      <c r="AI517" s="245"/>
      <c r="AJ517" s="125"/>
      <c r="AK517" s="91"/>
      <c r="AL517" s="126"/>
      <c r="AM517" s="91"/>
      <c r="AN517" s="91"/>
      <c r="AO517" s="197">
        <f t="shared" si="31"/>
        <v>0</v>
      </c>
      <c r="AP517" s="126"/>
      <c r="AQ517" s="216"/>
      <c r="AR517" s="127"/>
      <c r="AS517" s="269"/>
      <c r="AT517" s="94"/>
      <c r="AU517" s="84"/>
      <c r="AV517" s="80"/>
      <c r="AW517" s="81"/>
      <c r="AX517" s="77"/>
      <c r="AY517" s="107"/>
      <c r="AZ517" s="220">
        <f t="shared" si="28"/>
        <v>0</v>
      </c>
      <c r="BA517" s="220">
        <f t="shared" si="29"/>
        <v>0</v>
      </c>
    </row>
    <row r="518" spans="1:53" ht="50.1" customHeight="1" x14ac:dyDescent="0.25">
      <c r="A518" s="17">
        <f t="shared" si="30"/>
        <v>504</v>
      </c>
      <c r="B518" s="229"/>
      <c r="C518" s="222"/>
      <c r="D518" s="112"/>
      <c r="E518" s="128"/>
      <c r="F518" s="129"/>
      <c r="G518" s="130"/>
      <c r="H518" s="131"/>
      <c r="I518" s="132"/>
      <c r="J518" s="108"/>
      <c r="K518" s="133"/>
      <c r="L518" s="134"/>
      <c r="M518" s="334"/>
      <c r="N518" s="343"/>
      <c r="O518" s="135"/>
      <c r="P518" s="82"/>
      <c r="Q518" s="135"/>
      <c r="R518" s="82"/>
      <c r="S518" s="299"/>
      <c r="T518" s="305"/>
      <c r="U518" s="298"/>
      <c r="V518" s="304"/>
      <c r="W518" s="249"/>
      <c r="X518" s="344"/>
      <c r="Y518" s="337"/>
      <c r="Z518" s="33"/>
      <c r="AA518" s="83"/>
      <c r="AB518" s="33"/>
      <c r="AC518" s="83"/>
      <c r="AD518" s="33"/>
      <c r="AE518" s="83"/>
      <c r="AF518" s="33"/>
      <c r="AG518" s="244"/>
      <c r="AH518" s="83"/>
      <c r="AI518" s="246"/>
      <c r="AJ518" s="102"/>
      <c r="AK518" s="92"/>
      <c r="AL518" s="91"/>
      <c r="AM518" s="92"/>
      <c r="AN518" s="351"/>
      <c r="AO518" s="197">
        <f t="shared" si="31"/>
        <v>0</v>
      </c>
      <c r="AP518" s="91"/>
      <c r="AQ518" s="217"/>
      <c r="AR518" s="103"/>
      <c r="AS518" s="264"/>
      <c r="AT518" s="94"/>
      <c r="AU518" s="84"/>
      <c r="AV518" s="136"/>
      <c r="AW518" s="77"/>
      <c r="AX518" s="137"/>
      <c r="AY518" s="138"/>
      <c r="AZ518" s="220">
        <f t="shared" si="28"/>
        <v>0</v>
      </c>
      <c r="BA518" s="220">
        <f t="shared" si="29"/>
        <v>0</v>
      </c>
    </row>
    <row r="519" spans="1:53" ht="50.1" customHeight="1" x14ac:dyDescent="0.25">
      <c r="A519" s="17">
        <f t="shared" si="30"/>
        <v>505</v>
      </c>
      <c r="B519" s="228"/>
      <c r="C519" s="221"/>
      <c r="D519" s="88"/>
      <c r="E519" s="100"/>
      <c r="F519" s="95"/>
      <c r="G519" s="114"/>
      <c r="H519" s="96"/>
      <c r="I519" s="97"/>
      <c r="J519" s="98"/>
      <c r="K519" s="101"/>
      <c r="L519" s="124"/>
      <c r="M519" s="333"/>
      <c r="N519" s="341"/>
      <c r="O519" s="82"/>
      <c r="P519" s="93"/>
      <c r="Q519" s="82"/>
      <c r="R519" s="93"/>
      <c r="S519" s="298"/>
      <c r="T519" s="304"/>
      <c r="U519" s="307"/>
      <c r="V519" s="309"/>
      <c r="W519" s="248"/>
      <c r="X519" s="342"/>
      <c r="Y519" s="336"/>
      <c r="Z519" s="123"/>
      <c r="AA519" s="33"/>
      <c r="AB519" s="123"/>
      <c r="AC519" s="33"/>
      <c r="AD519" s="123"/>
      <c r="AE519" s="33"/>
      <c r="AF519" s="123"/>
      <c r="AG519" s="243"/>
      <c r="AH519" s="33"/>
      <c r="AI519" s="245"/>
      <c r="AJ519" s="125"/>
      <c r="AK519" s="91"/>
      <c r="AL519" s="126"/>
      <c r="AM519" s="91"/>
      <c r="AN519" s="91"/>
      <c r="AO519" s="197">
        <f t="shared" si="31"/>
        <v>0</v>
      </c>
      <c r="AP519" s="126"/>
      <c r="AQ519" s="216"/>
      <c r="AR519" s="127"/>
      <c r="AS519" s="269"/>
      <c r="AT519" s="94"/>
      <c r="AU519" s="84"/>
      <c r="AV519" s="80"/>
      <c r="AW519" s="81"/>
      <c r="AX519" s="77"/>
      <c r="AY519" s="107"/>
      <c r="AZ519" s="220">
        <f t="shared" si="28"/>
        <v>0</v>
      </c>
      <c r="BA519" s="220">
        <f t="shared" si="29"/>
        <v>0</v>
      </c>
    </row>
    <row r="520" spans="1:53" ht="50.1" customHeight="1" x14ac:dyDescent="0.25">
      <c r="A520" s="17">
        <f t="shared" si="30"/>
        <v>506</v>
      </c>
      <c r="B520" s="229"/>
      <c r="C520" s="222"/>
      <c r="D520" s="112"/>
      <c r="E520" s="128"/>
      <c r="F520" s="129"/>
      <c r="G520" s="130"/>
      <c r="H520" s="131"/>
      <c r="I520" s="132"/>
      <c r="J520" s="108"/>
      <c r="K520" s="133"/>
      <c r="L520" s="134"/>
      <c r="M520" s="334"/>
      <c r="N520" s="343"/>
      <c r="O520" s="135"/>
      <c r="P520" s="82"/>
      <c r="Q520" s="135"/>
      <c r="R520" s="82"/>
      <c r="S520" s="299"/>
      <c r="T520" s="305"/>
      <c r="U520" s="298"/>
      <c r="V520" s="304"/>
      <c r="W520" s="249"/>
      <c r="X520" s="344"/>
      <c r="Y520" s="337"/>
      <c r="Z520" s="33"/>
      <c r="AA520" s="83"/>
      <c r="AB520" s="33"/>
      <c r="AC520" s="83"/>
      <c r="AD520" s="33"/>
      <c r="AE520" s="83"/>
      <c r="AF520" s="33"/>
      <c r="AG520" s="244"/>
      <c r="AH520" s="83"/>
      <c r="AI520" s="246"/>
      <c r="AJ520" s="102"/>
      <c r="AK520" s="92"/>
      <c r="AL520" s="91"/>
      <c r="AM520" s="92"/>
      <c r="AN520" s="351"/>
      <c r="AO520" s="197">
        <f t="shared" si="31"/>
        <v>0</v>
      </c>
      <c r="AP520" s="91"/>
      <c r="AQ520" s="217"/>
      <c r="AR520" s="103"/>
      <c r="AS520" s="264"/>
      <c r="AT520" s="94"/>
      <c r="AU520" s="84"/>
      <c r="AV520" s="136"/>
      <c r="AW520" s="77"/>
      <c r="AX520" s="137"/>
      <c r="AY520" s="138"/>
      <c r="AZ520" s="220">
        <f t="shared" si="28"/>
        <v>0</v>
      </c>
      <c r="BA520" s="220">
        <f t="shared" si="29"/>
        <v>0</v>
      </c>
    </row>
    <row r="521" spans="1:53" ht="50.1" customHeight="1" x14ac:dyDescent="0.25">
      <c r="A521" s="17">
        <f t="shared" si="30"/>
        <v>507</v>
      </c>
      <c r="B521" s="228"/>
      <c r="C521" s="221"/>
      <c r="D521" s="88"/>
      <c r="E521" s="100"/>
      <c r="F521" s="95"/>
      <c r="G521" s="114"/>
      <c r="H521" s="96"/>
      <c r="I521" s="97"/>
      <c r="J521" s="98"/>
      <c r="K521" s="101"/>
      <c r="L521" s="124"/>
      <c r="M521" s="333"/>
      <c r="N521" s="341"/>
      <c r="O521" s="82"/>
      <c r="P521" s="93"/>
      <c r="Q521" s="82"/>
      <c r="R521" s="93"/>
      <c r="S521" s="298"/>
      <c r="T521" s="304"/>
      <c r="U521" s="307"/>
      <c r="V521" s="309"/>
      <c r="W521" s="248"/>
      <c r="X521" s="342"/>
      <c r="Y521" s="336"/>
      <c r="Z521" s="123"/>
      <c r="AA521" s="33"/>
      <c r="AB521" s="123"/>
      <c r="AC521" s="33"/>
      <c r="AD521" s="123"/>
      <c r="AE521" s="33"/>
      <c r="AF521" s="123"/>
      <c r="AG521" s="243"/>
      <c r="AH521" s="33"/>
      <c r="AI521" s="245"/>
      <c r="AJ521" s="125"/>
      <c r="AK521" s="91"/>
      <c r="AL521" s="126"/>
      <c r="AM521" s="91"/>
      <c r="AN521" s="91"/>
      <c r="AO521" s="197">
        <f t="shared" si="31"/>
        <v>0</v>
      </c>
      <c r="AP521" s="126"/>
      <c r="AQ521" s="216"/>
      <c r="AR521" s="127"/>
      <c r="AS521" s="269"/>
      <c r="AT521" s="94"/>
      <c r="AU521" s="84"/>
      <c r="AV521" s="80"/>
      <c r="AW521" s="81"/>
      <c r="AX521" s="77"/>
      <c r="AY521" s="107"/>
      <c r="AZ521" s="220">
        <f t="shared" si="28"/>
        <v>0</v>
      </c>
      <c r="BA521" s="220">
        <f t="shared" si="29"/>
        <v>0</v>
      </c>
    </row>
    <row r="522" spans="1:53" ht="50.1" customHeight="1" x14ac:dyDescent="0.25">
      <c r="A522" s="17">
        <f t="shared" si="30"/>
        <v>508</v>
      </c>
      <c r="B522" s="229"/>
      <c r="C522" s="222"/>
      <c r="D522" s="112"/>
      <c r="E522" s="128"/>
      <c r="F522" s="129"/>
      <c r="G522" s="130"/>
      <c r="H522" s="131"/>
      <c r="I522" s="132"/>
      <c r="J522" s="108"/>
      <c r="K522" s="133"/>
      <c r="L522" s="134"/>
      <c r="M522" s="334"/>
      <c r="N522" s="343"/>
      <c r="O522" s="135"/>
      <c r="P522" s="82"/>
      <c r="Q522" s="135"/>
      <c r="R522" s="82"/>
      <c r="S522" s="299"/>
      <c r="T522" s="305"/>
      <c r="U522" s="298"/>
      <c r="V522" s="304"/>
      <c r="W522" s="249"/>
      <c r="X522" s="344"/>
      <c r="Y522" s="337"/>
      <c r="Z522" s="33"/>
      <c r="AA522" s="83"/>
      <c r="AB522" s="33"/>
      <c r="AC522" s="83"/>
      <c r="AD522" s="33"/>
      <c r="AE522" s="83"/>
      <c r="AF522" s="33"/>
      <c r="AG522" s="244"/>
      <c r="AH522" s="83"/>
      <c r="AI522" s="246"/>
      <c r="AJ522" s="102"/>
      <c r="AK522" s="92"/>
      <c r="AL522" s="91"/>
      <c r="AM522" s="92"/>
      <c r="AN522" s="351"/>
      <c r="AO522" s="197">
        <f t="shared" si="31"/>
        <v>0</v>
      </c>
      <c r="AP522" s="91"/>
      <c r="AQ522" s="217"/>
      <c r="AR522" s="103"/>
      <c r="AS522" s="264"/>
      <c r="AT522" s="94"/>
      <c r="AU522" s="84"/>
      <c r="AV522" s="136"/>
      <c r="AW522" s="77"/>
      <c r="AX522" s="137"/>
      <c r="AY522" s="138"/>
      <c r="AZ522" s="220">
        <f t="shared" si="28"/>
        <v>0</v>
      </c>
      <c r="BA522" s="220">
        <f t="shared" si="29"/>
        <v>0</v>
      </c>
    </row>
    <row r="523" spans="1:53" ht="50.1" customHeight="1" x14ac:dyDescent="0.25">
      <c r="A523" s="17">
        <f t="shared" si="30"/>
        <v>509</v>
      </c>
      <c r="B523" s="228"/>
      <c r="C523" s="221"/>
      <c r="D523" s="88"/>
      <c r="E523" s="100"/>
      <c r="F523" s="95"/>
      <c r="G523" s="114"/>
      <c r="H523" s="96"/>
      <c r="I523" s="97"/>
      <c r="J523" s="98"/>
      <c r="K523" s="101"/>
      <c r="L523" s="124"/>
      <c r="M523" s="333"/>
      <c r="N523" s="341"/>
      <c r="O523" s="82"/>
      <c r="P523" s="93"/>
      <c r="Q523" s="82"/>
      <c r="R523" s="93"/>
      <c r="S523" s="298"/>
      <c r="T523" s="304"/>
      <c r="U523" s="307"/>
      <c r="V523" s="309"/>
      <c r="W523" s="248"/>
      <c r="X523" s="342"/>
      <c r="Y523" s="336"/>
      <c r="Z523" s="123"/>
      <c r="AA523" s="33"/>
      <c r="AB523" s="123"/>
      <c r="AC523" s="33"/>
      <c r="AD523" s="123"/>
      <c r="AE523" s="33"/>
      <c r="AF523" s="123"/>
      <c r="AG523" s="243"/>
      <c r="AH523" s="33"/>
      <c r="AI523" s="245"/>
      <c r="AJ523" s="125"/>
      <c r="AK523" s="91"/>
      <c r="AL523" s="126"/>
      <c r="AM523" s="91"/>
      <c r="AN523" s="91"/>
      <c r="AO523" s="197">
        <f t="shared" si="31"/>
        <v>0</v>
      </c>
      <c r="AP523" s="126"/>
      <c r="AQ523" s="216"/>
      <c r="AR523" s="127"/>
      <c r="AS523" s="269"/>
      <c r="AT523" s="94"/>
      <c r="AU523" s="84"/>
      <c r="AV523" s="80"/>
      <c r="AW523" s="81"/>
      <c r="AX523" s="77"/>
      <c r="AY523" s="107"/>
      <c r="AZ523" s="220">
        <f t="shared" si="28"/>
        <v>0</v>
      </c>
      <c r="BA523" s="220">
        <f t="shared" si="29"/>
        <v>0</v>
      </c>
    </row>
    <row r="524" spans="1:53" ht="50.1" customHeight="1" x14ac:dyDescent="0.25">
      <c r="A524" s="17">
        <f t="shared" si="30"/>
        <v>510</v>
      </c>
      <c r="B524" s="229"/>
      <c r="C524" s="222"/>
      <c r="D524" s="112"/>
      <c r="E524" s="128"/>
      <c r="F524" s="129"/>
      <c r="G524" s="130"/>
      <c r="H524" s="131"/>
      <c r="I524" s="132"/>
      <c r="J524" s="108"/>
      <c r="K524" s="133"/>
      <c r="L524" s="134"/>
      <c r="M524" s="334"/>
      <c r="N524" s="343"/>
      <c r="O524" s="135"/>
      <c r="P524" s="82"/>
      <c r="Q524" s="135"/>
      <c r="R524" s="82"/>
      <c r="S524" s="299"/>
      <c r="T524" s="305"/>
      <c r="U524" s="298"/>
      <c r="V524" s="304"/>
      <c r="W524" s="249"/>
      <c r="X524" s="344"/>
      <c r="Y524" s="337"/>
      <c r="Z524" s="33"/>
      <c r="AA524" s="83"/>
      <c r="AB524" s="33"/>
      <c r="AC524" s="83"/>
      <c r="AD524" s="33"/>
      <c r="AE524" s="83"/>
      <c r="AF524" s="33"/>
      <c r="AG524" s="244"/>
      <c r="AH524" s="83"/>
      <c r="AI524" s="246"/>
      <c r="AJ524" s="102"/>
      <c r="AK524" s="92"/>
      <c r="AL524" s="91"/>
      <c r="AM524" s="92"/>
      <c r="AN524" s="351"/>
      <c r="AO524" s="197">
        <f t="shared" si="31"/>
        <v>0</v>
      </c>
      <c r="AP524" s="91"/>
      <c r="AQ524" s="217"/>
      <c r="AR524" s="103"/>
      <c r="AS524" s="264"/>
      <c r="AT524" s="94"/>
      <c r="AU524" s="84"/>
      <c r="AV524" s="136"/>
      <c r="AW524" s="77"/>
      <c r="AX524" s="137"/>
      <c r="AY524" s="138"/>
      <c r="AZ524" s="220">
        <f t="shared" si="28"/>
        <v>0</v>
      </c>
      <c r="BA524" s="220">
        <f t="shared" si="29"/>
        <v>0</v>
      </c>
    </row>
    <row r="525" spans="1:53" ht="50.1" customHeight="1" x14ac:dyDescent="0.25">
      <c r="A525" s="17">
        <f t="shared" si="30"/>
        <v>511</v>
      </c>
      <c r="B525" s="228"/>
      <c r="C525" s="221"/>
      <c r="D525" s="88"/>
      <c r="E525" s="100"/>
      <c r="F525" s="95"/>
      <c r="G525" s="114"/>
      <c r="H525" s="96"/>
      <c r="I525" s="97"/>
      <c r="J525" s="98"/>
      <c r="K525" s="101"/>
      <c r="L525" s="124"/>
      <c r="M525" s="333"/>
      <c r="N525" s="341"/>
      <c r="O525" s="82"/>
      <c r="P525" s="93"/>
      <c r="Q525" s="82"/>
      <c r="R525" s="93"/>
      <c r="S525" s="298"/>
      <c r="T525" s="304"/>
      <c r="U525" s="307"/>
      <c r="V525" s="309"/>
      <c r="W525" s="248"/>
      <c r="X525" s="342"/>
      <c r="Y525" s="336"/>
      <c r="Z525" s="123"/>
      <c r="AA525" s="33"/>
      <c r="AB525" s="123"/>
      <c r="AC525" s="33"/>
      <c r="AD525" s="123"/>
      <c r="AE525" s="33"/>
      <c r="AF525" s="123"/>
      <c r="AG525" s="243"/>
      <c r="AH525" s="33"/>
      <c r="AI525" s="245"/>
      <c r="AJ525" s="125"/>
      <c r="AK525" s="91"/>
      <c r="AL525" s="126"/>
      <c r="AM525" s="91"/>
      <c r="AN525" s="91"/>
      <c r="AO525" s="197">
        <f t="shared" si="31"/>
        <v>0</v>
      </c>
      <c r="AP525" s="126"/>
      <c r="AQ525" s="216"/>
      <c r="AR525" s="127"/>
      <c r="AS525" s="269"/>
      <c r="AT525" s="94"/>
      <c r="AU525" s="84"/>
      <c r="AV525" s="80"/>
      <c r="AW525" s="81"/>
      <c r="AX525" s="77"/>
      <c r="AY525" s="107"/>
      <c r="AZ525" s="220">
        <f t="shared" si="28"/>
        <v>0</v>
      </c>
      <c r="BA525" s="220">
        <f t="shared" si="29"/>
        <v>0</v>
      </c>
    </row>
    <row r="526" spans="1:53" ht="50.1" customHeight="1" x14ac:dyDescent="0.25">
      <c r="A526" s="17">
        <f t="shared" si="30"/>
        <v>512</v>
      </c>
      <c r="B526" s="229"/>
      <c r="C526" s="222"/>
      <c r="D526" s="112"/>
      <c r="E526" s="128"/>
      <c r="F526" s="129"/>
      <c r="G526" s="130"/>
      <c r="H526" s="131"/>
      <c r="I526" s="132"/>
      <c r="J526" s="108"/>
      <c r="K526" s="133"/>
      <c r="L526" s="134"/>
      <c r="M526" s="334"/>
      <c r="N526" s="343"/>
      <c r="O526" s="135"/>
      <c r="P526" s="82"/>
      <c r="Q526" s="135"/>
      <c r="R526" s="82"/>
      <c r="S526" s="299"/>
      <c r="T526" s="305"/>
      <c r="U526" s="298"/>
      <c r="V526" s="304"/>
      <c r="W526" s="249"/>
      <c r="X526" s="344"/>
      <c r="Y526" s="337"/>
      <c r="Z526" s="33"/>
      <c r="AA526" s="83"/>
      <c r="AB526" s="33"/>
      <c r="AC526" s="83"/>
      <c r="AD526" s="33"/>
      <c r="AE526" s="83"/>
      <c r="AF526" s="33"/>
      <c r="AG526" s="244"/>
      <c r="AH526" s="83"/>
      <c r="AI526" s="246"/>
      <c r="AJ526" s="102"/>
      <c r="AK526" s="92"/>
      <c r="AL526" s="91"/>
      <c r="AM526" s="92"/>
      <c r="AN526" s="351"/>
      <c r="AO526" s="197">
        <f t="shared" si="31"/>
        <v>0</v>
      </c>
      <c r="AP526" s="91"/>
      <c r="AQ526" s="217"/>
      <c r="AR526" s="103"/>
      <c r="AS526" s="264"/>
      <c r="AT526" s="94"/>
      <c r="AU526" s="84"/>
      <c r="AV526" s="136"/>
      <c r="AW526" s="77"/>
      <c r="AX526" s="137"/>
      <c r="AY526" s="138"/>
      <c r="AZ526" s="220">
        <f t="shared" si="28"/>
        <v>0</v>
      </c>
      <c r="BA526" s="220">
        <f t="shared" si="29"/>
        <v>0</v>
      </c>
    </row>
    <row r="527" spans="1:53" ht="50.1" customHeight="1" x14ac:dyDescent="0.25">
      <c r="A527" s="17">
        <f t="shared" si="30"/>
        <v>513</v>
      </c>
      <c r="B527" s="228"/>
      <c r="C527" s="221"/>
      <c r="D527" s="88"/>
      <c r="E527" s="100"/>
      <c r="F527" s="95"/>
      <c r="G527" s="114"/>
      <c r="H527" s="96"/>
      <c r="I527" s="97"/>
      <c r="J527" s="98"/>
      <c r="K527" s="101"/>
      <c r="L527" s="124"/>
      <c r="M527" s="333"/>
      <c r="N527" s="341"/>
      <c r="O527" s="82"/>
      <c r="P527" s="93"/>
      <c r="Q527" s="82"/>
      <c r="R527" s="93"/>
      <c r="S527" s="298"/>
      <c r="T527" s="304"/>
      <c r="U527" s="307"/>
      <c r="V527" s="309"/>
      <c r="W527" s="248"/>
      <c r="X527" s="342"/>
      <c r="Y527" s="336"/>
      <c r="Z527" s="123"/>
      <c r="AA527" s="33"/>
      <c r="AB527" s="123"/>
      <c r="AC527" s="33"/>
      <c r="AD527" s="123"/>
      <c r="AE527" s="33"/>
      <c r="AF527" s="123"/>
      <c r="AG527" s="243"/>
      <c r="AH527" s="33"/>
      <c r="AI527" s="245"/>
      <c r="AJ527" s="125"/>
      <c r="AK527" s="91"/>
      <c r="AL527" s="126"/>
      <c r="AM527" s="91"/>
      <c r="AN527" s="91"/>
      <c r="AO527" s="197">
        <f t="shared" si="31"/>
        <v>0</v>
      </c>
      <c r="AP527" s="126"/>
      <c r="AQ527" s="216"/>
      <c r="AR527" s="127"/>
      <c r="AS527" s="269"/>
      <c r="AT527" s="94"/>
      <c r="AU527" s="84"/>
      <c r="AV527" s="80"/>
      <c r="AW527" s="81"/>
      <c r="AX527" s="77"/>
      <c r="AY527" s="107"/>
      <c r="AZ527" s="220">
        <f t="shared" ref="AZ527:AZ590" si="32">M527-B527</f>
        <v>0</v>
      </c>
      <c r="BA527" s="220">
        <f t="shared" ref="BA527:BA590" si="33">AU527-M527</f>
        <v>0</v>
      </c>
    </row>
    <row r="528" spans="1:53" ht="50.1" customHeight="1" x14ac:dyDescent="0.25">
      <c r="A528" s="17">
        <f t="shared" ref="A528:A591" si="34">ROW(A514)</f>
        <v>514</v>
      </c>
      <c r="B528" s="229"/>
      <c r="C528" s="222"/>
      <c r="D528" s="112"/>
      <c r="E528" s="128"/>
      <c r="F528" s="129"/>
      <c r="G528" s="130"/>
      <c r="H528" s="131"/>
      <c r="I528" s="132"/>
      <c r="J528" s="108"/>
      <c r="K528" s="133"/>
      <c r="L528" s="134"/>
      <c r="M528" s="334"/>
      <c r="N528" s="343"/>
      <c r="O528" s="135"/>
      <c r="P528" s="82"/>
      <c r="Q528" s="135"/>
      <c r="R528" s="82"/>
      <c r="S528" s="299"/>
      <c r="T528" s="305"/>
      <c r="U528" s="298"/>
      <c r="V528" s="304"/>
      <c r="W528" s="249"/>
      <c r="X528" s="344"/>
      <c r="Y528" s="337"/>
      <c r="Z528" s="33"/>
      <c r="AA528" s="83"/>
      <c r="AB528" s="33"/>
      <c r="AC528" s="83"/>
      <c r="AD528" s="33"/>
      <c r="AE528" s="83"/>
      <c r="AF528" s="33"/>
      <c r="AG528" s="244"/>
      <c r="AH528" s="83"/>
      <c r="AI528" s="246"/>
      <c r="AJ528" s="102"/>
      <c r="AK528" s="92"/>
      <c r="AL528" s="91"/>
      <c r="AM528" s="92"/>
      <c r="AN528" s="351"/>
      <c r="AO528" s="197">
        <f t="shared" ref="AO528:AO591" si="35">AJ528-AK528-AL528-AM528-AN528</f>
        <v>0</v>
      </c>
      <c r="AP528" s="91"/>
      <c r="AQ528" s="217"/>
      <c r="AR528" s="103"/>
      <c r="AS528" s="264"/>
      <c r="AT528" s="94"/>
      <c r="AU528" s="84"/>
      <c r="AV528" s="136"/>
      <c r="AW528" s="77"/>
      <c r="AX528" s="137"/>
      <c r="AY528" s="138"/>
      <c r="AZ528" s="220">
        <f t="shared" si="32"/>
        <v>0</v>
      </c>
      <c r="BA528" s="220">
        <f t="shared" si="33"/>
        <v>0</v>
      </c>
    </row>
    <row r="529" spans="1:53" ht="50.1" customHeight="1" x14ac:dyDescent="0.25">
      <c r="A529" s="17">
        <f t="shared" si="34"/>
        <v>515</v>
      </c>
      <c r="B529" s="228"/>
      <c r="C529" s="221"/>
      <c r="D529" s="88"/>
      <c r="E529" s="100"/>
      <c r="F529" s="95"/>
      <c r="G529" s="114"/>
      <c r="H529" s="96"/>
      <c r="I529" s="97"/>
      <c r="J529" s="98"/>
      <c r="K529" s="101"/>
      <c r="L529" s="124"/>
      <c r="M529" s="333"/>
      <c r="N529" s="341"/>
      <c r="O529" s="82"/>
      <c r="P529" s="93"/>
      <c r="Q529" s="82"/>
      <c r="R529" s="93"/>
      <c r="S529" s="298"/>
      <c r="T529" s="304"/>
      <c r="U529" s="307"/>
      <c r="V529" s="309"/>
      <c r="W529" s="248"/>
      <c r="X529" s="342"/>
      <c r="Y529" s="336"/>
      <c r="Z529" s="123"/>
      <c r="AA529" s="33"/>
      <c r="AB529" s="123"/>
      <c r="AC529" s="33"/>
      <c r="AD529" s="123"/>
      <c r="AE529" s="33"/>
      <c r="AF529" s="123"/>
      <c r="AG529" s="243"/>
      <c r="AH529" s="33"/>
      <c r="AI529" s="245"/>
      <c r="AJ529" s="125"/>
      <c r="AK529" s="91"/>
      <c r="AL529" s="126"/>
      <c r="AM529" s="91"/>
      <c r="AN529" s="91"/>
      <c r="AO529" s="197">
        <f t="shared" si="35"/>
        <v>0</v>
      </c>
      <c r="AP529" s="126"/>
      <c r="AQ529" s="216"/>
      <c r="AR529" s="127"/>
      <c r="AS529" s="269"/>
      <c r="AT529" s="94"/>
      <c r="AU529" s="84"/>
      <c r="AV529" s="80"/>
      <c r="AW529" s="81"/>
      <c r="AX529" s="77"/>
      <c r="AY529" s="107"/>
      <c r="AZ529" s="220">
        <f t="shared" si="32"/>
        <v>0</v>
      </c>
      <c r="BA529" s="220">
        <f t="shared" si="33"/>
        <v>0</v>
      </c>
    </row>
    <row r="530" spans="1:53" ht="50.1" customHeight="1" x14ac:dyDescent="0.25">
      <c r="A530" s="17">
        <f t="shared" si="34"/>
        <v>516</v>
      </c>
      <c r="B530" s="229"/>
      <c r="C530" s="222"/>
      <c r="D530" s="112"/>
      <c r="E530" s="128"/>
      <c r="F530" s="129"/>
      <c r="G530" s="130"/>
      <c r="H530" s="131"/>
      <c r="I530" s="132"/>
      <c r="J530" s="108"/>
      <c r="K530" s="133"/>
      <c r="L530" s="134"/>
      <c r="M530" s="334"/>
      <c r="N530" s="343"/>
      <c r="O530" s="135"/>
      <c r="P530" s="82"/>
      <c r="Q530" s="135"/>
      <c r="R530" s="82"/>
      <c r="S530" s="299"/>
      <c r="T530" s="305"/>
      <c r="U530" s="298"/>
      <c r="V530" s="304"/>
      <c r="W530" s="249"/>
      <c r="X530" s="344"/>
      <c r="Y530" s="337"/>
      <c r="Z530" s="33"/>
      <c r="AA530" s="83"/>
      <c r="AB530" s="33"/>
      <c r="AC530" s="83"/>
      <c r="AD530" s="33"/>
      <c r="AE530" s="83"/>
      <c r="AF530" s="33"/>
      <c r="AG530" s="244"/>
      <c r="AH530" s="83"/>
      <c r="AI530" s="246"/>
      <c r="AJ530" s="102"/>
      <c r="AK530" s="92"/>
      <c r="AL530" s="91"/>
      <c r="AM530" s="92"/>
      <c r="AN530" s="351"/>
      <c r="AO530" s="197">
        <f t="shared" si="35"/>
        <v>0</v>
      </c>
      <c r="AP530" s="91"/>
      <c r="AQ530" s="217"/>
      <c r="AR530" s="103"/>
      <c r="AS530" s="264"/>
      <c r="AT530" s="94"/>
      <c r="AU530" s="84"/>
      <c r="AV530" s="136"/>
      <c r="AW530" s="77"/>
      <c r="AX530" s="137"/>
      <c r="AY530" s="138"/>
      <c r="AZ530" s="220">
        <f t="shared" si="32"/>
        <v>0</v>
      </c>
      <c r="BA530" s="220">
        <f t="shared" si="33"/>
        <v>0</v>
      </c>
    </row>
    <row r="531" spans="1:53" ht="50.1" customHeight="1" x14ac:dyDescent="0.25">
      <c r="A531" s="17">
        <f t="shared" si="34"/>
        <v>517</v>
      </c>
      <c r="B531" s="228"/>
      <c r="C531" s="221"/>
      <c r="D531" s="88"/>
      <c r="E531" s="100"/>
      <c r="F531" s="95"/>
      <c r="G531" s="114"/>
      <c r="H531" s="96"/>
      <c r="I531" s="97"/>
      <c r="J531" s="98"/>
      <c r="K531" s="101"/>
      <c r="L531" s="124"/>
      <c r="M531" s="333"/>
      <c r="N531" s="341"/>
      <c r="O531" s="82"/>
      <c r="P531" s="93"/>
      <c r="Q531" s="82"/>
      <c r="R531" s="93"/>
      <c r="S531" s="298"/>
      <c r="T531" s="304"/>
      <c r="U531" s="307"/>
      <c r="V531" s="309"/>
      <c r="W531" s="248"/>
      <c r="X531" s="342"/>
      <c r="Y531" s="336"/>
      <c r="Z531" s="123"/>
      <c r="AA531" s="33"/>
      <c r="AB531" s="123"/>
      <c r="AC531" s="33"/>
      <c r="AD531" s="123"/>
      <c r="AE531" s="33"/>
      <c r="AF531" s="123"/>
      <c r="AG531" s="243"/>
      <c r="AH531" s="33"/>
      <c r="AI531" s="245"/>
      <c r="AJ531" s="125"/>
      <c r="AK531" s="91"/>
      <c r="AL531" s="126"/>
      <c r="AM531" s="91"/>
      <c r="AN531" s="91"/>
      <c r="AO531" s="197">
        <f t="shared" si="35"/>
        <v>0</v>
      </c>
      <c r="AP531" s="126"/>
      <c r="AQ531" s="216"/>
      <c r="AR531" s="127"/>
      <c r="AS531" s="269"/>
      <c r="AT531" s="94"/>
      <c r="AU531" s="84"/>
      <c r="AV531" s="80"/>
      <c r="AW531" s="81"/>
      <c r="AX531" s="77"/>
      <c r="AY531" s="107"/>
      <c r="AZ531" s="220">
        <f t="shared" si="32"/>
        <v>0</v>
      </c>
      <c r="BA531" s="220">
        <f t="shared" si="33"/>
        <v>0</v>
      </c>
    </row>
    <row r="532" spans="1:53" ht="50.1" customHeight="1" x14ac:dyDescent="0.25">
      <c r="A532" s="17">
        <f t="shared" si="34"/>
        <v>518</v>
      </c>
      <c r="B532" s="229"/>
      <c r="C532" s="222"/>
      <c r="D532" s="112"/>
      <c r="E532" s="128"/>
      <c r="F532" s="129"/>
      <c r="G532" s="130"/>
      <c r="H532" s="131"/>
      <c r="I532" s="132"/>
      <c r="J532" s="108"/>
      <c r="K532" s="133"/>
      <c r="L532" s="134"/>
      <c r="M532" s="334"/>
      <c r="N532" s="343"/>
      <c r="O532" s="135"/>
      <c r="P532" s="82"/>
      <c r="Q532" s="135"/>
      <c r="R532" s="82"/>
      <c r="S532" s="299"/>
      <c r="T532" s="305"/>
      <c r="U532" s="298"/>
      <c r="V532" s="304"/>
      <c r="W532" s="249"/>
      <c r="X532" s="344"/>
      <c r="Y532" s="337"/>
      <c r="Z532" s="33"/>
      <c r="AA532" s="83"/>
      <c r="AB532" s="33"/>
      <c r="AC532" s="83"/>
      <c r="AD532" s="33"/>
      <c r="AE532" s="83"/>
      <c r="AF532" s="33"/>
      <c r="AG532" s="244"/>
      <c r="AH532" s="83"/>
      <c r="AI532" s="246"/>
      <c r="AJ532" s="102"/>
      <c r="AK532" s="92"/>
      <c r="AL532" s="91"/>
      <c r="AM532" s="92"/>
      <c r="AN532" s="351"/>
      <c r="AO532" s="197">
        <f t="shared" si="35"/>
        <v>0</v>
      </c>
      <c r="AP532" s="91"/>
      <c r="AQ532" s="217"/>
      <c r="AR532" s="103"/>
      <c r="AS532" s="264"/>
      <c r="AT532" s="94"/>
      <c r="AU532" s="84"/>
      <c r="AV532" s="136"/>
      <c r="AW532" s="77"/>
      <c r="AX532" s="137"/>
      <c r="AY532" s="138"/>
      <c r="AZ532" s="220">
        <f t="shared" si="32"/>
        <v>0</v>
      </c>
      <c r="BA532" s="220">
        <f t="shared" si="33"/>
        <v>0</v>
      </c>
    </row>
    <row r="533" spans="1:53" ht="50.1" customHeight="1" x14ac:dyDescent="0.25">
      <c r="A533" s="17">
        <f t="shared" si="34"/>
        <v>519</v>
      </c>
      <c r="B533" s="228"/>
      <c r="C533" s="221"/>
      <c r="D533" s="88"/>
      <c r="E533" s="100"/>
      <c r="F533" s="95"/>
      <c r="G533" s="114"/>
      <c r="H533" s="96"/>
      <c r="I533" s="97"/>
      <c r="J533" s="98"/>
      <c r="K533" s="101"/>
      <c r="L533" s="124"/>
      <c r="M533" s="333"/>
      <c r="N533" s="341"/>
      <c r="O533" s="82"/>
      <c r="P533" s="93"/>
      <c r="Q533" s="82"/>
      <c r="R533" s="93"/>
      <c r="S533" s="298"/>
      <c r="T533" s="304"/>
      <c r="U533" s="307"/>
      <c r="V533" s="309"/>
      <c r="W533" s="248"/>
      <c r="X533" s="342"/>
      <c r="Y533" s="336"/>
      <c r="Z533" s="123"/>
      <c r="AA533" s="33"/>
      <c r="AB533" s="123"/>
      <c r="AC533" s="33"/>
      <c r="AD533" s="123"/>
      <c r="AE533" s="33"/>
      <c r="AF533" s="123"/>
      <c r="AG533" s="243"/>
      <c r="AH533" s="33"/>
      <c r="AI533" s="245"/>
      <c r="AJ533" s="125"/>
      <c r="AK533" s="91"/>
      <c r="AL533" s="126"/>
      <c r="AM533" s="91"/>
      <c r="AN533" s="91"/>
      <c r="AO533" s="197">
        <f t="shared" si="35"/>
        <v>0</v>
      </c>
      <c r="AP533" s="126"/>
      <c r="AQ533" s="216"/>
      <c r="AR533" s="127"/>
      <c r="AS533" s="269"/>
      <c r="AT533" s="94"/>
      <c r="AU533" s="84"/>
      <c r="AV533" s="80"/>
      <c r="AW533" s="81"/>
      <c r="AX533" s="77"/>
      <c r="AY533" s="107"/>
      <c r="AZ533" s="220">
        <f t="shared" si="32"/>
        <v>0</v>
      </c>
      <c r="BA533" s="220">
        <f t="shared" si="33"/>
        <v>0</v>
      </c>
    </row>
    <row r="534" spans="1:53" ht="50.1" customHeight="1" x14ac:dyDescent="0.25">
      <c r="A534" s="17">
        <f t="shared" si="34"/>
        <v>520</v>
      </c>
      <c r="B534" s="229"/>
      <c r="C534" s="222"/>
      <c r="D534" s="112"/>
      <c r="E534" s="128"/>
      <c r="F534" s="129"/>
      <c r="G534" s="130"/>
      <c r="H534" s="131"/>
      <c r="I534" s="132"/>
      <c r="J534" s="108"/>
      <c r="K534" s="133"/>
      <c r="L534" s="134"/>
      <c r="M534" s="334"/>
      <c r="N534" s="343"/>
      <c r="O534" s="135"/>
      <c r="P534" s="82"/>
      <c r="Q534" s="135"/>
      <c r="R534" s="82"/>
      <c r="S534" s="299"/>
      <c r="T534" s="305"/>
      <c r="U534" s="298"/>
      <c r="V534" s="304"/>
      <c r="W534" s="249"/>
      <c r="X534" s="344"/>
      <c r="Y534" s="337"/>
      <c r="Z534" s="33"/>
      <c r="AA534" s="83"/>
      <c r="AB534" s="33"/>
      <c r="AC534" s="83"/>
      <c r="AD534" s="33"/>
      <c r="AE534" s="83"/>
      <c r="AF534" s="33"/>
      <c r="AG534" s="244"/>
      <c r="AH534" s="83"/>
      <c r="AI534" s="246"/>
      <c r="AJ534" s="102"/>
      <c r="AK534" s="92"/>
      <c r="AL534" s="91"/>
      <c r="AM534" s="92"/>
      <c r="AN534" s="351"/>
      <c r="AO534" s="197">
        <f t="shared" si="35"/>
        <v>0</v>
      </c>
      <c r="AP534" s="91"/>
      <c r="AQ534" s="217"/>
      <c r="AR534" s="103"/>
      <c r="AS534" s="264"/>
      <c r="AT534" s="94"/>
      <c r="AU534" s="84"/>
      <c r="AV534" s="136"/>
      <c r="AW534" s="77"/>
      <c r="AX534" s="137"/>
      <c r="AY534" s="138"/>
      <c r="AZ534" s="220">
        <f t="shared" si="32"/>
        <v>0</v>
      </c>
      <c r="BA534" s="220">
        <f t="shared" si="33"/>
        <v>0</v>
      </c>
    </row>
    <row r="535" spans="1:53" ht="50.1" customHeight="1" x14ac:dyDescent="0.25">
      <c r="A535" s="17">
        <f t="shared" si="34"/>
        <v>521</v>
      </c>
      <c r="B535" s="228"/>
      <c r="C535" s="221"/>
      <c r="D535" s="88"/>
      <c r="E535" s="100"/>
      <c r="F535" s="95"/>
      <c r="G535" s="114"/>
      <c r="H535" s="96"/>
      <c r="I535" s="97"/>
      <c r="J535" s="98"/>
      <c r="K535" s="101"/>
      <c r="L535" s="124"/>
      <c r="M535" s="333"/>
      <c r="N535" s="341"/>
      <c r="O535" s="82"/>
      <c r="P535" s="93"/>
      <c r="Q535" s="82"/>
      <c r="R535" s="93"/>
      <c r="S535" s="298"/>
      <c r="T535" s="304"/>
      <c r="U535" s="307"/>
      <c r="V535" s="309"/>
      <c r="W535" s="248"/>
      <c r="X535" s="342"/>
      <c r="Y535" s="336"/>
      <c r="Z535" s="123"/>
      <c r="AA535" s="33"/>
      <c r="AB535" s="123"/>
      <c r="AC535" s="33"/>
      <c r="AD535" s="123"/>
      <c r="AE535" s="33"/>
      <c r="AF535" s="123"/>
      <c r="AG535" s="243"/>
      <c r="AH535" s="33"/>
      <c r="AI535" s="245"/>
      <c r="AJ535" s="125"/>
      <c r="AK535" s="91"/>
      <c r="AL535" s="126"/>
      <c r="AM535" s="91"/>
      <c r="AN535" s="91"/>
      <c r="AO535" s="197">
        <f t="shared" si="35"/>
        <v>0</v>
      </c>
      <c r="AP535" s="126"/>
      <c r="AQ535" s="216"/>
      <c r="AR535" s="127"/>
      <c r="AS535" s="269"/>
      <c r="AT535" s="94"/>
      <c r="AU535" s="84"/>
      <c r="AV535" s="80"/>
      <c r="AW535" s="81"/>
      <c r="AX535" s="77"/>
      <c r="AY535" s="107"/>
      <c r="AZ535" s="220">
        <f t="shared" si="32"/>
        <v>0</v>
      </c>
      <c r="BA535" s="220">
        <f t="shared" si="33"/>
        <v>0</v>
      </c>
    </row>
    <row r="536" spans="1:53" ht="50.1" customHeight="1" x14ac:dyDescent="0.25">
      <c r="A536" s="17">
        <f t="shared" si="34"/>
        <v>522</v>
      </c>
      <c r="B536" s="229"/>
      <c r="C536" s="222"/>
      <c r="D536" s="112"/>
      <c r="E536" s="128"/>
      <c r="F536" s="129"/>
      <c r="G536" s="130"/>
      <c r="H536" s="131"/>
      <c r="I536" s="132"/>
      <c r="J536" s="108"/>
      <c r="K536" s="133"/>
      <c r="L536" s="134"/>
      <c r="M536" s="334"/>
      <c r="N536" s="343"/>
      <c r="O536" s="135"/>
      <c r="P536" s="82"/>
      <c r="Q536" s="135"/>
      <c r="R536" s="82"/>
      <c r="S536" s="299"/>
      <c r="T536" s="305"/>
      <c r="U536" s="298"/>
      <c r="V536" s="304"/>
      <c r="W536" s="249"/>
      <c r="X536" s="344"/>
      <c r="Y536" s="337"/>
      <c r="Z536" s="33"/>
      <c r="AA536" s="83"/>
      <c r="AB536" s="33"/>
      <c r="AC536" s="83"/>
      <c r="AD536" s="33"/>
      <c r="AE536" s="83"/>
      <c r="AF536" s="33"/>
      <c r="AG536" s="244"/>
      <c r="AH536" s="83"/>
      <c r="AI536" s="246"/>
      <c r="AJ536" s="102"/>
      <c r="AK536" s="92"/>
      <c r="AL536" s="91"/>
      <c r="AM536" s="92"/>
      <c r="AN536" s="351"/>
      <c r="AO536" s="197">
        <f t="shared" si="35"/>
        <v>0</v>
      </c>
      <c r="AP536" s="91"/>
      <c r="AQ536" s="217"/>
      <c r="AR536" s="103"/>
      <c r="AS536" s="264"/>
      <c r="AT536" s="94"/>
      <c r="AU536" s="84"/>
      <c r="AV536" s="136"/>
      <c r="AW536" s="77"/>
      <c r="AX536" s="137"/>
      <c r="AY536" s="138"/>
      <c r="AZ536" s="220">
        <f t="shared" si="32"/>
        <v>0</v>
      </c>
      <c r="BA536" s="220">
        <f t="shared" si="33"/>
        <v>0</v>
      </c>
    </row>
    <row r="537" spans="1:53" ht="50.1" customHeight="1" x14ac:dyDescent="0.25">
      <c r="A537" s="17">
        <f t="shared" si="34"/>
        <v>523</v>
      </c>
      <c r="B537" s="228"/>
      <c r="C537" s="221"/>
      <c r="D537" s="88"/>
      <c r="E537" s="100"/>
      <c r="F537" s="95"/>
      <c r="G537" s="114"/>
      <c r="H537" s="96"/>
      <c r="I537" s="97"/>
      <c r="J537" s="98"/>
      <c r="K537" s="101"/>
      <c r="L537" s="124"/>
      <c r="M537" s="333"/>
      <c r="N537" s="341"/>
      <c r="O537" s="82"/>
      <c r="P537" s="93"/>
      <c r="Q537" s="82"/>
      <c r="R537" s="93"/>
      <c r="S537" s="298"/>
      <c r="T537" s="304"/>
      <c r="U537" s="307"/>
      <c r="V537" s="309"/>
      <c r="W537" s="248"/>
      <c r="X537" s="342"/>
      <c r="Y537" s="336"/>
      <c r="Z537" s="123"/>
      <c r="AA537" s="33"/>
      <c r="AB537" s="123"/>
      <c r="AC537" s="33"/>
      <c r="AD537" s="123"/>
      <c r="AE537" s="33"/>
      <c r="AF537" s="123"/>
      <c r="AG537" s="243"/>
      <c r="AH537" s="33"/>
      <c r="AI537" s="245"/>
      <c r="AJ537" s="125"/>
      <c r="AK537" s="91"/>
      <c r="AL537" s="126"/>
      <c r="AM537" s="91"/>
      <c r="AN537" s="91"/>
      <c r="AO537" s="197">
        <f t="shared" si="35"/>
        <v>0</v>
      </c>
      <c r="AP537" s="126"/>
      <c r="AQ537" s="216"/>
      <c r="AR537" s="127"/>
      <c r="AS537" s="269"/>
      <c r="AT537" s="94"/>
      <c r="AU537" s="84"/>
      <c r="AV537" s="80"/>
      <c r="AW537" s="81"/>
      <c r="AX537" s="77"/>
      <c r="AY537" s="107"/>
      <c r="AZ537" s="220">
        <f t="shared" si="32"/>
        <v>0</v>
      </c>
      <c r="BA537" s="220">
        <f t="shared" si="33"/>
        <v>0</v>
      </c>
    </row>
    <row r="538" spans="1:53" ht="50.1" customHeight="1" x14ac:dyDescent="0.25">
      <c r="A538" s="17">
        <f t="shared" si="34"/>
        <v>524</v>
      </c>
      <c r="B538" s="229"/>
      <c r="C538" s="222"/>
      <c r="D538" s="112"/>
      <c r="E538" s="128"/>
      <c r="F538" s="129"/>
      <c r="G538" s="130"/>
      <c r="H538" s="131"/>
      <c r="I538" s="132"/>
      <c r="J538" s="108"/>
      <c r="K538" s="133"/>
      <c r="L538" s="134"/>
      <c r="M538" s="334"/>
      <c r="N538" s="343"/>
      <c r="O538" s="135"/>
      <c r="P538" s="82"/>
      <c r="Q538" s="135"/>
      <c r="R538" s="82"/>
      <c r="S538" s="299"/>
      <c r="T538" s="305"/>
      <c r="U538" s="298"/>
      <c r="V538" s="304"/>
      <c r="W538" s="249"/>
      <c r="X538" s="344"/>
      <c r="Y538" s="337"/>
      <c r="Z538" s="33"/>
      <c r="AA538" s="83"/>
      <c r="AB538" s="33"/>
      <c r="AC538" s="83"/>
      <c r="AD538" s="33"/>
      <c r="AE538" s="83"/>
      <c r="AF538" s="33"/>
      <c r="AG538" s="244"/>
      <c r="AH538" s="83"/>
      <c r="AI538" s="246"/>
      <c r="AJ538" s="102"/>
      <c r="AK538" s="92"/>
      <c r="AL538" s="91"/>
      <c r="AM538" s="92"/>
      <c r="AN538" s="351"/>
      <c r="AO538" s="197">
        <f t="shared" si="35"/>
        <v>0</v>
      </c>
      <c r="AP538" s="91"/>
      <c r="AQ538" s="217"/>
      <c r="AR538" s="103"/>
      <c r="AS538" s="264"/>
      <c r="AT538" s="94"/>
      <c r="AU538" s="84"/>
      <c r="AV538" s="136"/>
      <c r="AW538" s="77"/>
      <c r="AX538" s="137"/>
      <c r="AY538" s="138"/>
      <c r="AZ538" s="220">
        <f t="shared" si="32"/>
        <v>0</v>
      </c>
      <c r="BA538" s="220">
        <f t="shared" si="33"/>
        <v>0</v>
      </c>
    </row>
    <row r="539" spans="1:53" ht="50.1" customHeight="1" x14ac:dyDescent="0.25">
      <c r="A539" s="17">
        <f t="shared" si="34"/>
        <v>525</v>
      </c>
      <c r="B539" s="228"/>
      <c r="C539" s="221"/>
      <c r="D539" s="88"/>
      <c r="E539" s="100"/>
      <c r="F539" s="95"/>
      <c r="G539" s="114"/>
      <c r="H539" s="96"/>
      <c r="I539" s="97"/>
      <c r="J539" s="98"/>
      <c r="K539" s="101"/>
      <c r="L539" s="124"/>
      <c r="M539" s="333"/>
      <c r="N539" s="341"/>
      <c r="O539" s="82"/>
      <c r="P539" s="93"/>
      <c r="Q539" s="82"/>
      <c r="R539" s="93"/>
      <c r="S539" s="298"/>
      <c r="T539" s="304"/>
      <c r="U539" s="307"/>
      <c r="V539" s="309"/>
      <c r="W539" s="248"/>
      <c r="X539" s="342"/>
      <c r="Y539" s="336"/>
      <c r="Z539" s="123"/>
      <c r="AA539" s="33"/>
      <c r="AB539" s="123"/>
      <c r="AC539" s="33"/>
      <c r="AD539" s="123"/>
      <c r="AE539" s="33"/>
      <c r="AF539" s="123"/>
      <c r="AG539" s="243"/>
      <c r="AH539" s="33"/>
      <c r="AI539" s="245"/>
      <c r="AJ539" s="125"/>
      <c r="AK539" s="91"/>
      <c r="AL539" s="126"/>
      <c r="AM539" s="91"/>
      <c r="AN539" s="91"/>
      <c r="AO539" s="197">
        <f t="shared" si="35"/>
        <v>0</v>
      </c>
      <c r="AP539" s="126"/>
      <c r="AQ539" s="216"/>
      <c r="AR539" s="127"/>
      <c r="AS539" s="269"/>
      <c r="AT539" s="94"/>
      <c r="AU539" s="84"/>
      <c r="AV539" s="80"/>
      <c r="AW539" s="81"/>
      <c r="AX539" s="77"/>
      <c r="AY539" s="107"/>
      <c r="AZ539" s="220">
        <f t="shared" si="32"/>
        <v>0</v>
      </c>
      <c r="BA539" s="220">
        <f t="shared" si="33"/>
        <v>0</v>
      </c>
    </row>
    <row r="540" spans="1:53" ht="50.1" customHeight="1" x14ac:dyDescent="0.25">
      <c r="A540" s="17">
        <f t="shared" si="34"/>
        <v>526</v>
      </c>
      <c r="B540" s="229"/>
      <c r="C540" s="222"/>
      <c r="D540" s="112"/>
      <c r="E540" s="128"/>
      <c r="F540" s="129"/>
      <c r="G540" s="130"/>
      <c r="H540" s="131"/>
      <c r="I540" s="132"/>
      <c r="J540" s="108"/>
      <c r="K540" s="133"/>
      <c r="L540" s="134"/>
      <c r="M540" s="334"/>
      <c r="N540" s="343"/>
      <c r="O540" s="135"/>
      <c r="P540" s="82"/>
      <c r="Q540" s="135"/>
      <c r="R540" s="82"/>
      <c r="S540" s="299"/>
      <c r="T540" s="305"/>
      <c r="U540" s="298"/>
      <c r="V540" s="304"/>
      <c r="W540" s="249"/>
      <c r="X540" s="344"/>
      <c r="Y540" s="337"/>
      <c r="Z540" s="33"/>
      <c r="AA540" s="83"/>
      <c r="AB540" s="33"/>
      <c r="AC540" s="83"/>
      <c r="AD540" s="33"/>
      <c r="AE540" s="83"/>
      <c r="AF540" s="33"/>
      <c r="AG540" s="244"/>
      <c r="AH540" s="83"/>
      <c r="AI540" s="246"/>
      <c r="AJ540" s="102"/>
      <c r="AK540" s="92"/>
      <c r="AL540" s="91"/>
      <c r="AM540" s="92"/>
      <c r="AN540" s="351"/>
      <c r="AO540" s="197">
        <f t="shared" si="35"/>
        <v>0</v>
      </c>
      <c r="AP540" s="91"/>
      <c r="AQ540" s="217"/>
      <c r="AR540" s="103"/>
      <c r="AS540" s="264"/>
      <c r="AT540" s="94"/>
      <c r="AU540" s="84"/>
      <c r="AV540" s="136"/>
      <c r="AW540" s="77"/>
      <c r="AX540" s="137"/>
      <c r="AY540" s="138"/>
      <c r="AZ540" s="220">
        <f t="shared" si="32"/>
        <v>0</v>
      </c>
      <c r="BA540" s="220">
        <f t="shared" si="33"/>
        <v>0</v>
      </c>
    </row>
    <row r="541" spans="1:53" ht="50.1" customHeight="1" x14ac:dyDescent="0.25">
      <c r="A541" s="17">
        <f t="shared" si="34"/>
        <v>527</v>
      </c>
      <c r="B541" s="228"/>
      <c r="C541" s="221"/>
      <c r="D541" s="88"/>
      <c r="E541" s="100"/>
      <c r="F541" s="95"/>
      <c r="G541" s="114"/>
      <c r="H541" s="96"/>
      <c r="I541" s="97"/>
      <c r="J541" s="98"/>
      <c r="K541" s="101"/>
      <c r="L541" s="124"/>
      <c r="M541" s="333"/>
      <c r="N541" s="341"/>
      <c r="O541" s="82"/>
      <c r="P541" s="93"/>
      <c r="Q541" s="82"/>
      <c r="R541" s="93"/>
      <c r="S541" s="298"/>
      <c r="T541" s="304"/>
      <c r="U541" s="307"/>
      <c r="V541" s="309"/>
      <c r="W541" s="248"/>
      <c r="X541" s="342"/>
      <c r="Y541" s="336"/>
      <c r="Z541" s="123"/>
      <c r="AA541" s="33"/>
      <c r="AB541" s="123"/>
      <c r="AC541" s="33"/>
      <c r="AD541" s="123"/>
      <c r="AE541" s="33"/>
      <c r="AF541" s="123"/>
      <c r="AG541" s="243"/>
      <c r="AH541" s="33"/>
      <c r="AI541" s="245"/>
      <c r="AJ541" s="125"/>
      <c r="AK541" s="91"/>
      <c r="AL541" s="126"/>
      <c r="AM541" s="91"/>
      <c r="AN541" s="91"/>
      <c r="AO541" s="197">
        <f t="shared" si="35"/>
        <v>0</v>
      </c>
      <c r="AP541" s="126"/>
      <c r="AQ541" s="216"/>
      <c r="AR541" s="127"/>
      <c r="AS541" s="269"/>
      <c r="AT541" s="94"/>
      <c r="AU541" s="84"/>
      <c r="AV541" s="80"/>
      <c r="AW541" s="81"/>
      <c r="AX541" s="77"/>
      <c r="AY541" s="107"/>
      <c r="AZ541" s="220">
        <f t="shared" si="32"/>
        <v>0</v>
      </c>
      <c r="BA541" s="220">
        <f t="shared" si="33"/>
        <v>0</v>
      </c>
    </row>
    <row r="542" spans="1:53" ht="50.1" customHeight="1" x14ac:dyDescent="0.25">
      <c r="A542" s="17">
        <f t="shared" si="34"/>
        <v>528</v>
      </c>
      <c r="B542" s="229"/>
      <c r="C542" s="222"/>
      <c r="D542" s="112"/>
      <c r="E542" s="128"/>
      <c r="F542" s="129"/>
      <c r="G542" s="130"/>
      <c r="H542" s="131"/>
      <c r="I542" s="132"/>
      <c r="J542" s="108"/>
      <c r="K542" s="133"/>
      <c r="L542" s="134"/>
      <c r="M542" s="334"/>
      <c r="N542" s="343"/>
      <c r="O542" s="135"/>
      <c r="P542" s="82"/>
      <c r="Q542" s="135"/>
      <c r="R542" s="82"/>
      <c r="S542" s="299"/>
      <c r="T542" s="305"/>
      <c r="U542" s="298"/>
      <c r="V542" s="304"/>
      <c r="W542" s="249"/>
      <c r="X542" s="344"/>
      <c r="Y542" s="337"/>
      <c r="Z542" s="33"/>
      <c r="AA542" s="83"/>
      <c r="AB542" s="33"/>
      <c r="AC542" s="83"/>
      <c r="AD542" s="33"/>
      <c r="AE542" s="83"/>
      <c r="AF542" s="33"/>
      <c r="AG542" s="244"/>
      <c r="AH542" s="83"/>
      <c r="AI542" s="246"/>
      <c r="AJ542" s="102"/>
      <c r="AK542" s="92"/>
      <c r="AL542" s="91"/>
      <c r="AM542" s="92"/>
      <c r="AN542" s="351"/>
      <c r="AO542" s="197">
        <f t="shared" si="35"/>
        <v>0</v>
      </c>
      <c r="AP542" s="91"/>
      <c r="AQ542" s="217"/>
      <c r="AR542" s="103"/>
      <c r="AS542" s="264"/>
      <c r="AT542" s="94"/>
      <c r="AU542" s="84"/>
      <c r="AV542" s="136"/>
      <c r="AW542" s="77"/>
      <c r="AX542" s="137"/>
      <c r="AY542" s="138"/>
      <c r="AZ542" s="220">
        <f t="shared" si="32"/>
        <v>0</v>
      </c>
      <c r="BA542" s="220">
        <f t="shared" si="33"/>
        <v>0</v>
      </c>
    </row>
    <row r="543" spans="1:53" ht="50.1" customHeight="1" x14ac:dyDescent="0.25">
      <c r="A543" s="17">
        <f t="shared" si="34"/>
        <v>529</v>
      </c>
      <c r="B543" s="228"/>
      <c r="C543" s="221"/>
      <c r="D543" s="88"/>
      <c r="E543" s="100"/>
      <c r="F543" s="95"/>
      <c r="G543" s="114"/>
      <c r="H543" s="96"/>
      <c r="I543" s="97"/>
      <c r="J543" s="98"/>
      <c r="K543" s="101"/>
      <c r="L543" s="124"/>
      <c r="M543" s="333"/>
      <c r="N543" s="341"/>
      <c r="O543" s="82"/>
      <c r="P543" s="93"/>
      <c r="Q543" s="82"/>
      <c r="R543" s="93"/>
      <c r="S543" s="298"/>
      <c r="T543" s="304"/>
      <c r="U543" s="307"/>
      <c r="V543" s="309"/>
      <c r="W543" s="248"/>
      <c r="X543" s="342"/>
      <c r="Y543" s="336"/>
      <c r="Z543" s="123"/>
      <c r="AA543" s="33"/>
      <c r="AB543" s="123"/>
      <c r="AC543" s="33"/>
      <c r="AD543" s="123"/>
      <c r="AE543" s="33"/>
      <c r="AF543" s="123"/>
      <c r="AG543" s="243"/>
      <c r="AH543" s="33"/>
      <c r="AI543" s="245"/>
      <c r="AJ543" s="125"/>
      <c r="AK543" s="91"/>
      <c r="AL543" s="126"/>
      <c r="AM543" s="91"/>
      <c r="AN543" s="91"/>
      <c r="AO543" s="197">
        <f t="shared" si="35"/>
        <v>0</v>
      </c>
      <c r="AP543" s="126"/>
      <c r="AQ543" s="216"/>
      <c r="AR543" s="127"/>
      <c r="AS543" s="269"/>
      <c r="AT543" s="94"/>
      <c r="AU543" s="84"/>
      <c r="AV543" s="80"/>
      <c r="AW543" s="81"/>
      <c r="AX543" s="77"/>
      <c r="AY543" s="107"/>
      <c r="AZ543" s="220">
        <f t="shared" si="32"/>
        <v>0</v>
      </c>
      <c r="BA543" s="220">
        <f t="shared" si="33"/>
        <v>0</v>
      </c>
    </row>
    <row r="544" spans="1:53" ht="50.1" customHeight="1" x14ac:dyDescent="0.25">
      <c r="A544" s="17">
        <f t="shared" si="34"/>
        <v>530</v>
      </c>
      <c r="B544" s="229"/>
      <c r="C544" s="222"/>
      <c r="D544" s="112"/>
      <c r="E544" s="128"/>
      <c r="F544" s="129"/>
      <c r="G544" s="130"/>
      <c r="H544" s="131"/>
      <c r="I544" s="132"/>
      <c r="J544" s="108"/>
      <c r="K544" s="133"/>
      <c r="L544" s="134"/>
      <c r="M544" s="334"/>
      <c r="N544" s="343"/>
      <c r="O544" s="135"/>
      <c r="P544" s="82"/>
      <c r="Q544" s="135"/>
      <c r="R544" s="82"/>
      <c r="S544" s="299"/>
      <c r="T544" s="305"/>
      <c r="U544" s="298"/>
      <c r="V544" s="304"/>
      <c r="W544" s="249"/>
      <c r="X544" s="344"/>
      <c r="Y544" s="337"/>
      <c r="Z544" s="33"/>
      <c r="AA544" s="83"/>
      <c r="AB544" s="33"/>
      <c r="AC544" s="83"/>
      <c r="AD544" s="33"/>
      <c r="AE544" s="83"/>
      <c r="AF544" s="33"/>
      <c r="AG544" s="244"/>
      <c r="AH544" s="83"/>
      <c r="AI544" s="246"/>
      <c r="AJ544" s="102"/>
      <c r="AK544" s="92"/>
      <c r="AL544" s="91"/>
      <c r="AM544" s="92"/>
      <c r="AN544" s="351"/>
      <c r="AO544" s="197">
        <f t="shared" si="35"/>
        <v>0</v>
      </c>
      <c r="AP544" s="91"/>
      <c r="AQ544" s="217"/>
      <c r="AR544" s="103"/>
      <c r="AS544" s="264"/>
      <c r="AT544" s="94"/>
      <c r="AU544" s="84"/>
      <c r="AV544" s="136"/>
      <c r="AW544" s="77"/>
      <c r="AX544" s="137"/>
      <c r="AY544" s="138"/>
      <c r="AZ544" s="220">
        <f t="shared" si="32"/>
        <v>0</v>
      </c>
      <c r="BA544" s="220">
        <f t="shared" si="33"/>
        <v>0</v>
      </c>
    </row>
    <row r="545" spans="1:53" ht="50.1" customHeight="1" x14ac:dyDescent="0.25">
      <c r="A545" s="17">
        <f t="shared" si="34"/>
        <v>531</v>
      </c>
      <c r="B545" s="228"/>
      <c r="C545" s="221"/>
      <c r="D545" s="88"/>
      <c r="E545" s="100"/>
      <c r="F545" s="95"/>
      <c r="G545" s="114"/>
      <c r="H545" s="96"/>
      <c r="I545" s="97"/>
      <c r="J545" s="98"/>
      <c r="K545" s="101"/>
      <c r="L545" s="124"/>
      <c r="M545" s="333"/>
      <c r="N545" s="341"/>
      <c r="O545" s="82"/>
      <c r="P545" s="93"/>
      <c r="Q545" s="82"/>
      <c r="R545" s="93"/>
      <c r="S545" s="298"/>
      <c r="T545" s="304"/>
      <c r="U545" s="307"/>
      <c r="V545" s="309"/>
      <c r="W545" s="248"/>
      <c r="X545" s="342"/>
      <c r="Y545" s="336"/>
      <c r="Z545" s="123"/>
      <c r="AA545" s="33"/>
      <c r="AB545" s="123"/>
      <c r="AC545" s="33"/>
      <c r="AD545" s="123"/>
      <c r="AE545" s="33"/>
      <c r="AF545" s="123"/>
      <c r="AG545" s="243"/>
      <c r="AH545" s="33"/>
      <c r="AI545" s="245"/>
      <c r="AJ545" s="125"/>
      <c r="AK545" s="91"/>
      <c r="AL545" s="126"/>
      <c r="AM545" s="91"/>
      <c r="AN545" s="91"/>
      <c r="AO545" s="197">
        <f t="shared" si="35"/>
        <v>0</v>
      </c>
      <c r="AP545" s="126"/>
      <c r="AQ545" s="216"/>
      <c r="AR545" s="127"/>
      <c r="AS545" s="269"/>
      <c r="AT545" s="94"/>
      <c r="AU545" s="84"/>
      <c r="AV545" s="80"/>
      <c r="AW545" s="81"/>
      <c r="AX545" s="77"/>
      <c r="AY545" s="107"/>
      <c r="AZ545" s="220">
        <f t="shared" si="32"/>
        <v>0</v>
      </c>
      <c r="BA545" s="220">
        <f t="shared" si="33"/>
        <v>0</v>
      </c>
    </row>
    <row r="546" spans="1:53" ht="50.1" customHeight="1" x14ac:dyDescent="0.25">
      <c r="A546" s="17">
        <f t="shared" si="34"/>
        <v>532</v>
      </c>
      <c r="B546" s="229"/>
      <c r="C546" s="222"/>
      <c r="D546" s="112"/>
      <c r="E546" s="128"/>
      <c r="F546" s="129"/>
      <c r="G546" s="130"/>
      <c r="H546" s="131"/>
      <c r="I546" s="132"/>
      <c r="J546" s="108"/>
      <c r="K546" s="133"/>
      <c r="L546" s="134"/>
      <c r="M546" s="334"/>
      <c r="N546" s="343"/>
      <c r="O546" s="135"/>
      <c r="P546" s="82"/>
      <c r="Q546" s="135"/>
      <c r="R546" s="82"/>
      <c r="S546" s="299"/>
      <c r="T546" s="305"/>
      <c r="U546" s="298"/>
      <c r="V546" s="304"/>
      <c r="W546" s="249"/>
      <c r="X546" s="344"/>
      <c r="Y546" s="337"/>
      <c r="Z546" s="33"/>
      <c r="AA546" s="83"/>
      <c r="AB546" s="33"/>
      <c r="AC546" s="83"/>
      <c r="AD546" s="33"/>
      <c r="AE546" s="83"/>
      <c r="AF546" s="33"/>
      <c r="AG546" s="244"/>
      <c r="AH546" s="83"/>
      <c r="AI546" s="246"/>
      <c r="AJ546" s="102"/>
      <c r="AK546" s="92"/>
      <c r="AL546" s="91"/>
      <c r="AM546" s="92"/>
      <c r="AN546" s="351"/>
      <c r="AO546" s="197">
        <f t="shared" si="35"/>
        <v>0</v>
      </c>
      <c r="AP546" s="91"/>
      <c r="AQ546" s="217"/>
      <c r="AR546" s="103"/>
      <c r="AS546" s="264"/>
      <c r="AT546" s="94"/>
      <c r="AU546" s="84"/>
      <c r="AV546" s="136"/>
      <c r="AW546" s="77"/>
      <c r="AX546" s="137"/>
      <c r="AY546" s="138"/>
      <c r="AZ546" s="220">
        <f t="shared" si="32"/>
        <v>0</v>
      </c>
      <c r="BA546" s="220">
        <f t="shared" si="33"/>
        <v>0</v>
      </c>
    </row>
    <row r="547" spans="1:53" ht="50.1" customHeight="1" x14ac:dyDescent="0.25">
      <c r="A547" s="17">
        <f t="shared" si="34"/>
        <v>533</v>
      </c>
      <c r="B547" s="228"/>
      <c r="C547" s="221"/>
      <c r="D547" s="88"/>
      <c r="E547" s="100"/>
      <c r="F547" s="95"/>
      <c r="G547" s="114"/>
      <c r="H547" s="96"/>
      <c r="I547" s="97"/>
      <c r="J547" s="98"/>
      <c r="K547" s="101"/>
      <c r="L547" s="124"/>
      <c r="M547" s="333"/>
      <c r="N547" s="341"/>
      <c r="O547" s="82"/>
      <c r="P547" s="93"/>
      <c r="Q547" s="82"/>
      <c r="R547" s="93"/>
      <c r="S547" s="298"/>
      <c r="T547" s="304"/>
      <c r="U547" s="307"/>
      <c r="V547" s="309"/>
      <c r="W547" s="248"/>
      <c r="X547" s="342"/>
      <c r="Y547" s="336"/>
      <c r="Z547" s="123"/>
      <c r="AA547" s="33"/>
      <c r="AB547" s="123"/>
      <c r="AC547" s="33"/>
      <c r="AD547" s="123"/>
      <c r="AE547" s="33"/>
      <c r="AF547" s="123"/>
      <c r="AG547" s="243"/>
      <c r="AH547" s="33"/>
      <c r="AI547" s="245"/>
      <c r="AJ547" s="125"/>
      <c r="AK547" s="91"/>
      <c r="AL547" s="126"/>
      <c r="AM547" s="91"/>
      <c r="AN547" s="91"/>
      <c r="AO547" s="197">
        <f t="shared" si="35"/>
        <v>0</v>
      </c>
      <c r="AP547" s="126"/>
      <c r="AQ547" s="216"/>
      <c r="AR547" s="127"/>
      <c r="AS547" s="269"/>
      <c r="AT547" s="94"/>
      <c r="AU547" s="84"/>
      <c r="AV547" s="80"/>
      <c r="AW547" s="81"/>
      <c r="AX547" s="77"/>
      <c r="AY547" s="107"/>
      <c r="AZ547" s="220">
        <f t="shared" si="32"/>
        <v>0</v>
      </c>
      <c r="BA547" s="220">
        <f t="shared" si="33"/>
        <v>0</v>
      </c>
    </row>
    <row r="548" spans="1:53" ht="50.1" customHeight="1" x14ac:dyDescent="0.25">
      <c r="A548" s="17">
        <f t="shared" si="34"/>
        <v>534</v>
      </c>
      <c r="B548" s="229"/>
      <c r="C548" s="222"/>
      <c r="D548" s="112"/>
      <c r="E548" s="128"/>
      <c r="F548" s="129"/>
      <c r="G548" s="130"/>
      <c r="H548" s="131"/>
      <c r="I548" s="132"/>
      <c r="J548" s="108"/>
      <c r="K548" s="133"/>
      <c r="L548" s="134"/>
      <c r="M548" s="334"/>
      <c r="N548" s="343"/>
      <c r="O548" s="135"/>
      <c r="P548" s="82"/>
      <c r="Q548" s="135"/>
      <c r="R548" s="82"/>
      <c r="S548" s="299"/>
      <c r="T548" s="305"/>
      <c r="U548" s="298"/>
      <c r="V548" s="304"/>
      <c r="W548" s="249"/>
      <c r="X548" s="344"/>
      <c r="Y548" s="337"/>
      <c r="Z548" s="33"/>
      <c r="AA548" s="83"/>
      <c r="AB548" s="33"/>
      <c r="AC548" s="83"/>
      <c r="AD548" s="33"/>
      <c r="AE548" s="83"/>
      <c r="AF548" s="33"/>
      <c r="AG548" s="244"/>
      <c r="AH548" s="83"/>
      <c r="AI548" s="246"/>
      <c r="AJ548" s="102"/>
      <c r="AK548" s="92"/>
      <c r="AL548" s="91"/>
      <c r="AM548" s="92"/>
      <c r="AN548" s="351"/>
      <c r="AO548" s="197">
        <f t="shared" si="35"/>
        <v>0</v>
      </c>
      <c r="AP548" s="91"/>
      <c r="AQ548" s="217"/>
      <c r="AR548" s="103"/>
      <c r="AS548" s="264"/>
      <c r="AT548" s="94"/>
      <c r="AU548" s="84"/>
      <c r="AV548" s="136"/>
      <c r="AW548" s="77"/>
      <c r="AX548" s="137"/>
      <c r="AY548" s="138"/>
      <c r="AZ548" s="220">
        <f t="shared" si="32"/>
        <v>0</v>
      </c>
      <c r="BA548" s="220">
        <f t="shared" si="33"/>
        <v>0</v>
      </c>
    </row>
    <row r="549" spans="1:53" ht="50.1" customHeight="1" x14ac:dyDescent="0.25">
      <c r="A549" s="17">
        <f t="shared" si="34"/>
        <v>535</v>
      </c>
      <c r="B549" s="228"/>
      <c r="C549" s="221"/>
      <c r="D549" s="88"/>
      <c r="E549" s="100"/>
      <c r="F549" s="95"/>
      <c r="G549" s="114"/>
      <c r="H549" s="96"/>
      <c r="I549" s="97"/>
      <c r="J549" s="98"/>
      <c r="K549" s="101"/>
      <c r="L549" s="124"/>
      <c r="M549" s="333"/>
      <c r="N549" s="341"/>
      <c r="O549" s="82"/>
      <c r="P549" s="93"/>
      <c r="Q549" s="82"/>
      <c r="R549" s="93"/>
      <c r="S549" s="298"/>
      <c r="T549" s="304"/>
      <c r="U549" s="307"/>
      <c r="V549" s="309"/>
      <c r="W549" s="248"/>
      <c r="X549" s="342"/>
      <c r="Y549" s="336"/>
      <c r="Z549" s="123"/>
      <c r="AA549" s="33"/>
      <c r="AB549" s="123"/>
      <c r="AC549" s="33"/>
      <c r="AD549" s="123"/>
      <c r="AE549" s="33"/>
      <c r="AF549" s="123"/>
      <c r="AG549" s="243"/>
      <c r="AH549" s="33"/>
      <c r="AI549" s="245"/>
      <c r="AJ549" s="125"/>
      <c r="AK549" s="91"/>
      <c r="AL549" s="126"/>
      <c r="AM549" s="91"/>
      <c r="AN549" s="91"/>
      <c r="AO549" s="197">
        <f t="shared" si="35"/>
        <v>0</v>
      </c>
      <c r="AP549" s="126"/>
      <c r="AQ549" s="216"/>
      <c r="AR549" s="127"/>
      <c r="AS549" s="269"/>
      <c r="AT549" s="94"/>
      <c r="AU549" s="84"/>
      <c r="AV549" s="80"/>
      <c r="AW549" s="81"/>
      <c r="AX549" s="77"/>
      <c r="AY549" s="107"/>
      <c r="AZ549" s="220">
        <f t="shared" si="32"/>
        <v>0</v>
      </c>
      <c r="BA549" s="220">
        <f t="shared" si="33"/>
        <v>0</v>
      </c>
    </row>
    <row r="550" spans="1:53" ht="50.1" customHeight="1" x14ac:dyDescent="0.25">
      <c r="A550" s="17">
        <f t="shared" si="34"/>
        <v>536</v>
      </c>
      <c r="B550" s="229"/>
      <c r="C550" s="222"/>
      <c r="D550" s="112"/>
      <c r="E550" s="128"/>
      <c r="F550" s="129"/>
      <c r="G550" s="130"/>
      <c r="H550" s="131"/>
      <c r="I550" s="132"/>
      <c r="J550" s="108"/>
      <c r="K550" s="133"/>
      <c r="L550" s="134"/>
      <c r="M550" s="334"/>
      <c r="N550" s="343"/>
      <c r="O550" s="135"/>
      <c r="P550" s="82"/>
      <c r="Q550" s="135"/>
      <c r="R550" s="82"/>
      <c r="S550" s="299"/>
      <c r="T550" s="305"/>
      <c r="U550" s="298"/>
      <c r="V550" s="304"/>
      <c r="W550" s="249"/>
      <c r="X550" s="344"/>
      <c r="Y550" s="337"/>
      <c r="Z550" s="33"/>
      <c r="AA550" s="83"/>
      <c r="AB550" s="33"/>
      <c r="AC550" s="83"/>
      <c r="AD550" s="33"/>
      <c r="AE550" s="83"/>
      <c r="AF550" s="33"/>
      <c r="AG550" s="244"/>
      <c r="AH550" s="83"/>
      <c r="AI550" s="246"/>
      <c r="AJ550" s="102"/>
      <c r="AK550" s="92"/>
      <c r="AL550" s="91"/>
      <c r="AM550" s="92"/>
      <c r="AN550" s="351"/>
      <c r="AO550" s="197">
        <f t="shared" si="35"/>
        <v>0</v>
      </c>
      <c r="AP550" s="91"/>
      <c r="AQ550" s="217"/>
      <c r="AR550" s="103"/>
      <c r="AS550" s="264"/>
      <c r="AT550" s="94"/>
      <c r="AU550" s="84"/>
      <c r="AV550" s="136"/>
      <c r="AW550" s="77"/>
      <c r="AX550" s="137"/>
      <c r="AY550" s="138"/>
      <c r="AZ550" s="220">
        <f t="shared" si="32"/>
        <v>0</v>
      </c>
      <c r="BA550" s="220">
        <f t="shared" si="33"/>
        <v>0</v>
      </c>
    </row>
    <row r="551" spans="1:53" ht="50.1" customHeight="1" x14ac:dyDescent="0.25">
      <c r="A551" s="17">
        <f t="shared" si="34"/>
        <v>537</v>
      </c>
      <c r="B551" s="228"/>
      <c r="C551" s="221"/>
      <c r="D551" s="88"/>
      <c r="E551" s="100"/>
      <c r="F551" s="95"/>
      <c r="G551" s="114"/>
      <c r="H551" s="96"/>
      <c r="I551" s="97"/>
      <c r="J551" s="98"/>
      <c r="K551" s="101"/>
      <c r="L551" s="124"/>
      <c r="M551" s="333"/>
      <c r="N551" s="341"/>
      <c r="O551" s="82"/>
      <c r="P551" s="93"/>
      <c r="Q551" s="82"/>
      <c r="R551" s="93"/>
      <c r="S551" s="298"/>
      <c r="T551" s="304"/>
      <c r="U551" s="307"/>
      <c r="V551" s="309"/>
      <c r="W551" s="248"/>
      <c r="X551" s="342"/>
      <c r="Y551" s="336"/>
      <c r="Z551" s="123"/>
      <c r="AA551" s="33"/>
      <c r="AB551" s="123"/>
      <c r="AC551" s="33"/>
      <c r="AD551" s="123"/>
      <c r="AE551" s="33"/>
      <c r="AF551" s="123"/>
      <c r="AG551" s="243"/>
      <c r="AH551" s="33"/>
      <c r="AI551" s="245"/>
      <c r="AJ551" s="125"/>
      <c r="AK551" s="91"/>
      <c r="AL551" s="126"/>
      <c r="AM551" s="91"/>
      <c r="AN551" s="91"/>
      <c r="AO551" s="197">
        <f t="shared" si="35"/>
        <v>0</v>
      </c>
      <c r="AP551" s="126"/>
      <c r="AQ551" s="216"/>
      <c r="AR551" s="127"/>
      <c r="AS551" s="269"/>
      <c r="AT551" s="94"/>
      <c r="AU551" s="84"/>
      <c r="AV551" s="80"/>
      <c r="AW551" s="81"/>
      <c r="AX551" s="77"/>
      <c r="AY551" s="107"/>
      <c r="AZ551" s="220">
        <f t="shared" si="32"/>
        <v>0</v>
      </c>
      <c r="BA551" s="220">
        <f t="shared" si="33"/>
        <v>0</v>
      </c>
    </row>
    <row r="552" spans="1:53" ht="50.1" customHeight="1" x14ac:dyDescent="0.25">
      <c r="A552" s="17">
        <f t="shared" si="34"/>
        <v>538</v>
      </c>
      <c r="B552" s="229"/>
      <c r="C552" s="222"/>
      <c r="D552" s="112"/>
      <c r="E552" s="128"/>
      <c r="F552" s="129"/>
      <c r="G552" s="130"/>
      <c r="H552" s="131"/>
      <c r="I552" s="132"/>
      <c r="J552" s="108"/>
      <c r="K552" s="133"/>
      <c r="L552" s="134"/>
      <c r="M552" s="334"/>
      <c r="N552" s="343"/>
      <c r="O552" s="135"/>
      <c r="P552" s="82"/>
      <c r="Q552" s="135"/>
      <c r="R552" s="82"/>
      <c r="S552" s="299"/>
      <c r="T552" s="305"/>
      <c r="U552" s="298"/>
      <c r="V552" s="304"/>
      <c r="W552" s="249"/>
      <c r="X552" s="344"/>
      <c r="Y552" s="337"/>
      <c r="Z552" s="33"/>
      <c r="AA552" s="83"/>
      <c r="AB552" s="33"/>
      <c r="AC552" s="83"/>
      <c r="AD552" s="33"/>
      <c r="AE552" s="83"/>
      <c r="AF552" s="33"/>
      <c r="AG552" s="244"/>
      <c r="AH552" s="83"/>
      <c r="AI552" s="246"/>
      <c r="AJ552" s="102"/>
      <c r="AK552" s="92"/>
      <c r="AL552" s="91"/>
      <c r="AM552" s="92"/>
      <c r="AN552" s="351"/>
      <c r="AO552" s="197">
        <f t="shared" si="35"/>
        <v>0</v>
      </c>
      <c r="AP552" s="91"/>
      <c r="AQ552" s="217"/>
      <c r="AR552" s="103"/>
      <c r="AS552" s="264"/>
      <c r="AT552" s="94"/>
      <c r="AU552" s="84"/>
      <c r="AV552" s="136"/>
      <c r="AW552" s="77"/>
      <c r="AX552" s="137"/>
      <c r="AY552" s="138"/>
      <c r="AZ552" s="220">
        <f t="shared" si="32"/>
        <v>0</v>
      </c>
      <c r="BA552" s="220">
        <f t="shared" si="33"/>
        <v>0</v>
      </c>
    </row>
    <row r="553" spans="1:53" ht="50.1" customHeight="1" x14ac:dyDescent="0.25">
      <c r="A553" s="17">
        <f t="shared" si="34"/>
        <v>539</v>
      </c>
      <c r="B553" s="228"/>
      <c r="C553" s="221"/>
      <c r="D553" s="88"/>
      <c r="E553" s="100"/>
      <c r="F553" s="95"/>
      <c r="G553" s="114"/>
      <c r="H553" s="96"/>
      <c r="I553" s="97"/>
      <c r="J553" s="98"/>
      <c r="K553" s="101"/>
      <c r="L553" s="124"/>
      <c r="M553" s="333"/>
      <c r="N553" s="341"/>
      <c r="O553" s="82"/>
      <c r="P553" s="93"/>
      <c r="Q553" s="82"/>
      <c r="R553" s="93"/>
      <c r="S553" s="298"/>
      <c r="T553" s="304"/>
      <c r="U553" s="307"/>
      <c r="V553" s="309"/>
      <c r="W553" s="248"/>
      <c r="X553" s="342"/>
      <c r="Y553" s="336"/>
      <c r="Z553" s="123"/>
      <c r="AA553" s="33"/>
      <c r="AB553" s="123"/>
      <c r="AC553" s="33"/>
      <c r="AD553" s="123"/>
      <c r="AE553" s="33"/>
      <c r="AF553" s="123"/>
      <c r="AG553" s="243"/>
      <c r="AH553" s="33"/>
      <c r="AI553" s="245"/>
      <c r="AJ553" s="125"/>
      <c r="AK553" s="91"/>
      <c r="AL553" s="126"/>
      <c r="AM553" s="91"/>
      <c r="AN553" s="91"/>
      <c r="AO553" s="197">
        <f t="shared" si="35"/>
        <v>0</v>
      </c>
      <c r="AP553" s="126"/>
      <c r="AQ553" s="216"/>
      <c r="AR553" s="127"/>
      <c r="AS553" s="269"/>
      <c r="AT553" s="94"/>
      <c r="AU553" s="84"/>
      <c r="AV553" s="80"/>
      <c r="AW553" s="81"/>
      <c r="AX553" s="77"/>
      <c r="AY553" s="107"/>
      <c r="AZ553" s="220">
        <f t="shared" si="32"/>
        <v>0</v>
      </c>
      <c r="BA553" s="220">
        <f t="shared" si="33"/>
        <v>0</v>
      </c>
    </row>
    <row r="554" spans="1:53" ht="50.1" customHeight="1" x14ac:dyDescent="0.25">
      <c r="A554" s="17">
        <f t="shared" si="34"/>
        <v>540</v>
      </c>
      <c r="B554" s="229"/>
      <c r="C554" s="222"/>
      <c r="D554" s="112"/>
      <c r="E554" s="128"/>
      <c r="F554" s="129"/>
      <c r="G554" s="130"/>
      <c r="H554" s="131"/>
      <c r="I554" s="132"/>
      <c r="J554" s="108"/>
      <c r="K554" s="133"/>
      <c r="L554" s="134"/>
      <c r="M554" s="334"/>
      <c r="N554" s="343"/>
      <c r="O554" s="135"/>
      <c r="P554" s="82"/>
      <c r="Q554" s="135"/>
      <c r="R554" s="82"/>
      <c r="S554" s="299"/>
      <c r="T554" s="305"/>
      <c r="U554" s="298"/>
      <c r="V554" s="304"/>
      <c r="W554" s="249"/>
      <c r="X554" s="344"/>
      <c r="Y554" s="337"/>
      <c r="Z554" s="33"/>
      <c r="AA554" s="83"/>
      <c r="AB554" s="33"/>
      <c r="AC554" s="83"/>
      <c r="AD554" s="33"/>
      <c r="AE554" s="83"/>
      <c r="AF554" s="33"/>
      <c r="AG554" s="244"/>
      <c r="AH554" s="83"/>
      <c r="AI554" s="246"/>
      <c r="AJ554" s="102"/>
      <c r="AK554" s="92"/>
      <c r="AL554" s="91"/>
      <c r="AM554" s="92"/>
      <c r="AN554" s="351"/>
      <c r="AO554" s="197">
        <f t="shared" si="35"/>
        <v>0</v>
      </c>
      <c r="AP554" s="91"/>
      <c r="AQ554" s="217"/>
      <c r="AR554" s="103"/>
      <c r="AS554" s="264"/>
      <c r="AT554" s="94"/>
      <c r="AU554" s="84"/>
      <c r="AV554" s="136"/>
      <c r="AW554" s="77"/>
      <c r="AX554" s="137"/>
      <c r="AY554" s="138"/>
      <c r="AZ554" s="220">
        <f t="shared" si="32"/>
        <v>0</v>
      </c>
      <c r="BA554" s="220">
        <f t="shared" si="33"/>
        <v>0</v>
      </c>
    </row>
    <row r="555" spans="1:53" ht="50.1" customHeight="1" x14ac:dyDescent="0.25">
      <c r="A555" s="17">
        <f t="shared" si="34"/>
        <v>541</v>
      </c>
      <c r="B555" s="228"/>
      <c r="C555" s="221"/>
      <c r="D555" s="88"/>
      <c r="E555" s="100"/>
      <c r="F555" s="95"/>
      <c r="G555" s="114"/>
      <c r="H555" s="96"/>
      <c r="I555" s="97"/>
      <c r="J555" s="98"/>
      <c r="K555" s="101"/>
      <c r="L555" s="124"/>
      <c r="M555" s="333"/>
      <c r="N555" s="341"/>
      <c r="O555" s="82"/>
      <c r="P555" s="93"/>
      <c r="Q555" s="82"/>
      <c r="R555" s="93"/>
      <c r="S555" s="298"/>
      <c r="T555" s="304"/>
      <c r="U555" s="307"/>
      <c r="V555" s="309"/>
      <c r="W555" s="248"/>
      <c r="X555" s="342"/>
      <c r="Y555" s="336"/>
      <c r="Z555" s="123"/>
      <c r="AA555" s="33"/>
      <c r="AB555" s="123"/>
      <c r="AC555" s="33"/>
      <c r="AD555" s="123"/>
      <c r="AE555" s="33"/>
      <c r="AF555" s="123"/>
      <c r="AG555" s="243"/>
      <c r="AH555" s="33"/>
      <c r="AI555" s="245"/>
      <c r="AJ555" s="125"/>
      <c r="AK555" s="91"/>
      <c r="AL555" s="126"/>
      <c r="AM555" s="91"/>
      <c r="AN555" s="91"/>
      <c r="AO555" s="197">
        <f t="shared" si="35"/>
        <v>0</v>
      </c>
      <c r="AP555" s="126"/>
      <c r="AQ555" s="216"/>
      <c r="AR555" s="127"/>
      <c r="AS555" s="269"/>
      <c r="AT555" s="94"/>
      <c r="AU555" s="84"/>
      <c r="AV555" s="80"/>
      <c r="AW555" s="81"/>
      <c r="AX555" s="77"/>
      <c r="AY555" s="107"/>
      <c r="AZ555" s="220">
        <f t="shared" si="32"/>
        <v>0</v>
      </c>
      <c r="BA555" s="220">
        <f t="shared" si="33"/>
        <v>0</v>
      </c>
    </row>
    <row r="556" spans="1:53" ht="50.1" customHeight="1" x14ac:dyDescent="0.25">
      <c r="A556" s="17">
        <f t="shared" si="34"/>
        <v>542</v>
      </c>
      <c r="B556" s="229"/>
      <c r="C556" s="222"/>
      <c r="D556" s="112"/>
      <c r="E556" s="128"/>
      <c r="F556" s="129"/>
      <c r="G556" s="130"/>
      <c r="H556" s="131"/>
      <c r="I556" s="132"/>
      <c r="J556" s="108"/>
      <c r="K556" s="133"/>
      <c r="L556" s="134"/>
      <c r="M556" s="334"/>
      <c r="N556" s="343"/>
      <c r="O556" s="135"/>
      <c r="P556" s="82"/>
      <c r="Q556" s="135"/>
      <c r="R556" s="82"/>
      <c r="S556" s="299"/>
      <c r="T556" s="305"/>
      <c r="U556" s="298"/>
      <c r="V556" s="304"/>
      <c r="W556" s="249"/>
      <c r="X556" s="344"/>
      <c r="Y556" s="337"/>
      <c r="Z556" s="33"/>
      <c r="AA556" s="83"/>
      <c r="AB556" s="33"/>
      <c r="AC556" s="83"/>
      <c r="AD556" s="33"/>
      <c r="AE556" s="83"/>
      <c r="AF556" s="33"/>
      <c r="AG556" s="244"/>
      <c r="AH556" s="83"/>
      <c r="AI556" s="246"/>
      <c r="AJ556" s="102"/>
      <c r="AK556" s="92"/>
      <c r="AL556" s="91"/>
      <c r="AM556" s="92"/>
      <c r="AN556" s="351"/>
      <c r="AO556" s="197">
        <f t="shared" si="35"/>
        <v>0</v>
      </c>
      <c r="AP556" s="91"/>
      <c r="AQ556" s="217"/>
      <c r="AR556" s="103"/>
      <c r="AS556" s="264"/>
      <c r="AT556" s="94"/>
      <c r="AU556" s="84"/>
      <c r="AV556" s="136"/>
      <c r="AW556" s="77"/>
      <c r="AX556" s="137"/>
      <c r="AY556" s="138"/>
      <c r="AZ556" s="220">
        <f t="shared" si="32"/>
        <v>0</v>
      </c>
      <c r="BA556" s="220">
        <f t="shared" si="33"/>
        <v>0</v>
      </c>
    </row>
    <row r="557" spans="1:53" ht="50.1" customHeight="1" x14ac:dyDescent="0.25">
      <c r="A557" s="17">
        <f t="shared" si="34"/>
        <v>543</v>
      </c>
      <c r="B557" s="228"/>
      <c r="C557" s="221"/>
      <c r="D557" s="88"/>
      <c r="E557" s="100"/>
      <c r="F557" s="95"/>
      <c r="G557" s="114"/>
      <c r="H557" s="96"/>
      <c r="I557" s="97"/>
      <c r="J557" s="98"/>
      <c r="K557" s="101"/>
      <c r="L557" s="124"/>
      <c r="M557" s="333"/>
      <c r="N557" s="341"/>
      <c r="O557" s="82"/>
      <c r="P557" s="93"/>
      <c r="Q557" s="82"/>
      <c r="R557" s="93"/>
      <c r="S557" s="298"/>
      <c r="T557" s="304"/>
      <c r="U557" s="307"/>
      <c r="V557" s="309"/>
      <c r="W557" s="248"/>
      <c r="X557" s="342"/>
      <c r="Y557" s="336"/>
      <c r="Z557" s="123"/>
      <c r="AA557" s="33"/>
      <c r="AB557" s="123"/>
      <c r="AC557" s="33"/>
      <c r="AD557" s="123"/>
      <c r="AE557" s="33"/>
      <c r="AF557" s="123"/>
      <c r="AG557" s="243"/>
      <c r="AH557" s="33"/>
      <c r="AI557" s="245"/>
      <c r="AJ557" s="125"/>
      <c r="AK557" s="91"/>
      <c r="AL557" s="126"/>
      <c r="AM557" s="91"/>
      <c r="AN557" s="91"/>
      <c r="AO557" s="197">
        <f t="shared" si="35"/>
        <v>0</v>
      </c>
      <c r="AP557" s="126"/>
      <c r="AQ557" s="216"/>
      <c r="AR557" s="127"/>
      <c r="AS557" s="269"/>
      <c r="AT557" s="94"/>
      <c r="AU557" s="84"/>
      <c r="AV557" s="80"/>
      <c r="AW557" s="81"/>
      <c r="AX557" s="77"/>
      <c r="AY557" s="107"/>
      <c r="AZ557" s="220">
        <f t="shared" si="32"/>
        <v>0</v>
      </c>
      <c r="BA557" s="220">
        <f t="shared" si="33"/>
        <v>0</v>
      </c>
    </row>
    <row r="558" spans="1:53" ht="50.1" customHeight="1" x14ac:dyDescent="0.25">
      <c r="A558" s="17">
        <f t="shared" si="34"/>
        <v>544</v>
      </c>
      <c r="B558" s="229"/>
      <c r="C558" s="222"/>
      <c r="D558" s="112"/>
      <c r="E558" s="128"/>
      <c r="F558" s="129"/>
      <c r="G558" s="130"/>
      <c r="H558" s="131"/>
      <c r="I558" s="132"/>
      <c r="J558" s="108"/>
      <c r="K558" s="133"/>
      <c r="L558" s="134"/>
      <c r="M558" s="334"/>
      <c r="N558" s="343"/>
      <c r="O558" s="135"/>
      <c r="P558" s="82"/>
      <c r="Q558" s="135"/>
      <c r="R558" s="82"/>
      <c r="S558" s="299"/>
      <c r="T558" s="305"/>
      <c r="U558" s="298"/>
      <c r="V558" s="304"/>
      <c r="W558" s="249"/>
      <c r="X558" s="344"/>
      <c r="Y558" s="337"/>
      <c r="Z558" s="33"/>
      <c r="AA558" s="83"/>
      <c r="AB558" s="33"/>
      <c r="AC558" s="83"/>
      <c r="AD558" s="33"/>
      <c r="AE558" s="83"/>
      <c r="AF558" s="33"/>
      <c r="AG558" s="244"/>
      <c r="AH558" s="83"/>
      <c r="AI558" s="246"/>
      <c r="AJ558" s="102"/>
      <c r="AK558" s="92"/>
      <c r="AL558" s="91"/>
      <c r="AM558" s="92"/>
      <c r="AN558" s="351"/>
      <c r="AO558" s="197">
        <f t="shared" si="35"/>
        <v>0</v>
      </c>
      <c r="AP558" s="91"/>
      <c r="AQ558" s="217"/>
      <c r="AR558" s="103"/>
      <c r="AS558" s="264"/>
      <c r="AT558" s="94"/>
      <c r="AU558" s="84"/>
      <c r="AV558" s="136"/>
      <c r="AW558" s="77"/>
      <c r="AX558" s="137"/>
      <c r="AY558" s="138"/>
      <c r="AZ558" s="220">
        <f t="shared" si="32"/>
        <v>0</v>
      </c>
      <c r="BA558" s="220">
        <f t="shared" si="33"/>
        <v>0</v>
      </c>
    </row>
    <row r="559" spans="1:53" ht="50.1" customHeight="1" x14ac:dyDescent="0.25">
      <c r="A559" s="17">
        <f t="shared" si="34"/>
        <v>545</v>
      </c>
      <c r="B559" s="228"/>
      <c r="C559" s="221"/>
      <c r="D559" s="88"/>
      <c r="E559" s="100"/>
      <c r="F559" s="95"/>
      <c r="G559" s="114"/>
      <c r="H559" s="96"/>
      <c r="I559" s="97"/>
      <c r="J559" s="98"/>
      <c r="K559" s="101"/>
      <c r="L559" s="124"/>
      <c r="M559" s="333"/>
      <c r="N559" s="341"/>
      <c r="O559" s="82"/>
      <c r="P559" s="93"/>
      <c r="Q559" s="82"/>
      <c r="R559" s="93"/>
      <c r="S559" s="298"/>
      <c r="T559" s="304"/>
      <c r="U559" s="307"/>
      <c r="V559" s="309"/>
      <c r="W559" s="248"/>
      <c r="X559" s="342"/>
      <c r="Y559" s="336"/>
      <c r="Z559" s="123"/>
      <c r="AA559" s="33"/>
      <c r="AB559" s="123"/>
      <c r="AC559" s="33"/>
      <c r="AD559" s="123"/>
      <c r="AE559" s="33"/>
      <c r="AF559" s="123"/>
      <c r="AG559" s="243"/>
      <c r="AH559" s="33"/>
      <c r="AI559" s="245"/>
      <c r="AJ559" s="125"/>
      <c r="AK559" s="91"/>
      <c r="AL559" s="126"/>
      <c r="AM559" s="91"/>
      <c r="AN559" s="91"/>
      <c r="AO559" s="197">
        <f t="shared" si="35"/>
        <v>0</v>
      </c>
      <c r="AP559" s="126"/>
      <c r="AQ559" s="216"/>
      <c r="AR559" s="127"/>
      <c r="AS559" s="269"/>
      <c r="AT559" s="94"/>
      <c r="AU559" s="84"/>
      <c r="AV559" s="80"/>
      <c r="AW559" s="81"/>
      <c r="AX559" s="77"/>
      <c r="AY559" s="107"/>
      <c r="AZ559" s="220">
        <f t="shared" si="32"/>
        <v>0</v>
      </c>
      <c r="BA559" s="220">
        <f t="shared" si="33"/>
        <v>0</v>
      </c>
    </row>
    <row r="560" spans="1:53" ht="50.1" customHeight="1" x14ac:dyDescent="0.25">
      <c r="A560" s="17">
        <f t="shared" si="34"/>
        <v>546</v>
      </c>
      <c r="B560" s="229"/>
      <c r="C560" s="222"/>
      <c r="D560" s="112"/>
      <c r="E560" s="128"/>
      <c r="F560" s="129"/>
      <c r="G560" s="130"/>
      <c r="H560" s="131"/>
      <c r="I560" s="132"/>
      <c r="J560" s="108"/>
      <c r="K560" s="133"/>
      <c r="L560" s="134"/>
      <c r="M560" s="334"/>
      <c r="N560" s="343"/>
      <c r="O560" s="135"/>
      <c r="P560" s="82"/>
      <c r="Q560" s="135"/>
      <c r="R560" s="82"/>
      <c r="S560" s="299"/>
      <c r="T560" s="305"/>
      <c r="U560" s="298"/>
      <c r="V560" s="304"/>
      <c r="W560" s="249"/>
      <c r="X560" s="344"/>
      <c r="Y560" s="337"/>
      <c r="Z560" s="33"/>
      <c r="AA560" s="83"/>
      <c r="AB560" s="33"/>
      <c r="AC560" s="83"/>
      <c r="AD560" s="33"/>
      <c r="AE560" s="83"/>
      <c r="AF560" s="33"/>
      <c r="AG560" s="244"/>
      <c r="AH560" s="83"/>
      <c r="AI560" s="246"/>
      <c r="AJ560" s="102"/>
      <c r="AK560" s="92"/>
      <c r="AL560" s="91"/>
      <c r="AM560" s="92"/>
      <c r="AN560" s="351"/>
      <c r="AO560" s="197">
        <f t="shared" si="35"/>
        <v>0</v>
      </c>
      <c r="AP560" s="91"/>
      <c r="AQ560" s="217"/>
      <c r="AR560" s="103"/>
      <c r="AS560" s="264"/>
      <c r="AT560" s="94"/>
      <c r="AU560" s="84"/>
      <c r="AV560" s="136"/>
      <c r="AW560" s="77"/>
      <c r="AX560" s="137"/>
      <c r="AY560" s="138"/>
      <c r="AZ560" s="220">
        <f t="shared" si="32"/>
        <v>0</v>
      </c>
      <c r="BA560" s="220">
        <f t="shared" si="33"/>
        <v>0</v>
      </c>
    </row>
    <row r="561" spans="1:53" ht="50.1" customHeight="1" x14ac:dyDescent="0.25">
      <c r="A561" s="17">
        <f t="shared" si="34"/>
        <v>547</v>
      </c>
      <c r="B561" s="228"/>
      <c r="C561" s="221"/>
      <c r="D561" s="88"/>
      <c r="E561" s="100"/>
      <c r="F561" s="95"/>
      <c r="G561" s="114"/>
      <c r="H561" s="96"/>
      <c r="I561" s="97"/>
      <c r="J561" s="98"/>
      <c r="K561" s="101"/>
      <c r="L561" s="124"/>
      <c r="M561" s="333"/>
      <c r="N561" s="341"/>
      <c r="O561" s="82"/>
      <c r="P561" s="93"/>
      <c r="Q561" s="82"/>
      <c r="R561" s="93"/>
      <c r="S561" s="298"/>
      <c r="T561" s="304"/>
      <c r="U561" s="307"/>
      <c r="V561" s="309"/>
      <c r="W561" s="248"/>
      <c r="X561" s="342"/>
      <c r="Y561" s="336"/>
      <c r="Z561" s="123"/>
      <c r="AA561" s="33"/>
      <c r="AB561" s="123"/>
      <c r="AC561" s="33"/>
      <c r="AD561" s="123"/>
      <c r="AE561" s="33"/>
      <c r="AF561" s="123"/>
      <c r="AG561" s="243"/>
      <c r="AH561" s="33"/>
      <c r="AI561" s="245"/>
      <c r="AJ561" s="125"/>
      <c r="AK561" s="91"/>
      <c r="AL561" s="126"/>
      <c r="AM561" s="91"/>
      <c r="AN561" s="91"/>
      <c r="AO561" s="197">
        <f t="shared" si="35"/>
        <v>0</v>
      </c>
      <c r="AP561" s="126"/>
      <c r="AQ561" s="216"/>
      <c r="AR561" s="127"/>
      <c r="AS561" s="269"/>
      <c r="AT561" s="94"/>
      <c r="AU561" s="84"/>
      <c r="AV561" s="80"/>
      <c r="AW561" s="81"/>
      <c r="AX561" s="77"/>
      <c r="AY561" s="107"/>
      <c r="AZ561" s="220">
        <f t="shared" si="32"/>
        <v>0</v>
      </c>
      <c r="BA561" s="220">
        <f t="shared" si="33"/>
        <v>0</v>
      </c>
    </row>
    <row r="562" spans="1:53" ht="50.1" customHeight="1" x14ac:dyDescent="0.25">
      <c r="A562" s="17">
        <f t="shared" si="34"/>
        <v>548</v>
      </c>
      <c r="B562" s="229"/>
      <c r="C562" s="222"/>
      <c r="D562" s="112"/>
      <c r="E562" s="128"/>
      <c r="F562" s="129"/>
      <c r="G562" s="130"/>
      <c r="H562" s="131"/>
      <c r="I562" s="132"/>
      <c r="J562" s="108"/>
      <c r="K562" s="133"/>
      <c r="L562" s="134"/>
      <c r="M562" s="334"/>
      <c r="N562" s="343"/>
      <c r="O562" s="135"/>
      <c r="P562" s="82"/>
      <c r="Q562" s="135"/>
      <c r="R562" s="82"/>
      <c r="S562" s="299"/>
      <c r="T562" s="305"/>
      <c r="U562" s="298"/>
      <c r="V562" s="304"/>
      <c r="W562" s="249"/>
      <c r="X562" s="344"/>
      <c r="Y562" s="337"/>
      <c r="Z562" s="33"/>
      <c r="AA562" s="83"/>
      <c r="AB562" s="33"/>
      <c r="AC562" s="83"/>
      <c r="AD562" s="33"/>
      <c r="AE562" s="83"/>
      <c r="AF562" s="33"/>
      <c r="AG562" s="244"/>
      <c r="AH562" s="83"/>
      <c r="AI562" s="246"/>
      <c r="AJ562" s="102"/>
      <c r="AK562" s="92"/>
      <c r="AL562" s="91"/>
      <c r="AM562" s="92"/>
      <c r="AN562" s="351"/>
      <c r="AO562" s="197">
        <f t="shared" si="35"/>
        <v>0</v>
      </c>
      <c r="AP562" s="91"/>
      <c r="AQ562" s="217"/>
      <c r="AR562" s="103"/>
      <c r="AS562" s="264"/>
      <c r="AT562" s="94"/>
      <c r="AU562" s="84"/>
      <c r="AV562" s="136"/>
      <c r="AW562" s="77"/>
      <c r="AX562" s="137"/>
      <c r="AY562" s="138"/>
      <c r="AZ562" s="220">
        <f t="shared" si="32"/>
        <v>0</v>
      </c>
      <c r="BA562" s="220">
        <f t="shared" si="33"/>
        <v>0</v>
      </c>
    </row>
    <row r="563" spans="1:53" ht="50.1" customHeight="1" x14ac:dyDescent="0.25">
      <c r="A563" s="17">
        <f t="shared" si="34"/>
        <v>549</v>
      </c>
      <c r="B563" s="228"/>
      <c r="C563" s="221"/>
      <c r="D563" s="88"/>
      <c r="E563" s="100"/>
      <c r="F563" s="95"/>
      <c r="G563" s="114"/>
      <c r="H563" s="96"/>
      <c r="I563" s="97"/>
      <c r="J563" s="98"/>
      <c r="K563" s="101"/>
      <c r="L563" s="124"/>
      <c r="M563" s="333"/>
      <c r="N563" s="341"/>
      <c r="O563" s="82"/>
      <c r="P563" s="93"/>
      <c r="Q563" s="82"/>
      <c r="R563" s="93"/>
      <c r="S563" s="298"/>
      <c r="T563" s="304"/>
      <c r="U563" s="307"/>
      <c r="V563" s="309"/>
      <c r="W563" s="248"/>
      <c r="X563" s="342"/>
      <c r="Y563" s="336"/>
      <c r="Z563" s="123"/>
      <c r="AA563" s="33"/>
      <c r="AB563" s="123"/>
      <c r="AC563" s="33"/>
      <c r="AD563" s="123"/>
      <c r="AE563" s="33"/>
      <c r="AF563" s="123"/>
      <c r="AG563" s="243"/>
      <c r="AH563" s="33"/>
      <c r="AI563" s="245"/>
      <c r="AJ563" s="125"/>
      <c r="AK563" s="91"/>
      <c r="AL563" s="126"/>
      <c r="AM563" s="91"/>
      <c r="AN563" s="91"/>
      <c r="AO563" s="197">
        <f t="shared" si="35"/>
        <v>0</v>
      </c>
      <c r="AP563" s="126"/>
      <c r="AQ563" s="216"/>
      <c r="AR563" s="127"/>
      <c r="AS563" s="269"/>
      <c r="AT563" s="94"/>
      <c r="AU563" s="84"/>
      <c r="AV563" s="80"/>
      <c r="AW563" s="81"/>
      <c r="AX563" s="77"/>
      <c r="AY563" s="107"/>
      <c r="AZ563" s="220">
        <f t="shared" si="32"/>
        <v>0</v>
      </c>
      <c r="BA563" s="220">
        <f t="shared" si="33"/>
        <v>0</v>
      </c>
    </row>
    <row r="564" spans="1:53" ht="50.1" customHeight="1" x14ac:dyDescent="0.25">
      <c r="A564" s="17">
        <f t="shared" si="34"/>
        <v>550</v>
      </c>
      <c r="B564" s="229"/>
      <c r="C564" s="222"/>
      <c r="D564" s="112"/>
      <c r="E564" s="128"/>
      <c r="F564" s="129"/>
      <c r="G564" s="130"/>
      <c r="H564" s="131"/>
      <c r="I564" s="132"/>
      <c r="J564" s="108"/>
      <c r="K564" s="133"/>
      <c r="L564" s="134"/>
      <c r="M564" s="334"/>
      <c r="N564" s="343"/>
      <c r="O564" s="135"/>
      <c r="P564" s="82"/>
      <c r="Q564" s="135"/>
      <c r="R564" s="82"/>
      <c r="S564" s="299"/>
      <c r="T564" s="305"/>
      <c r="U564" s="298"/>
      <c r="V564" s="304"/>
      <c r="W564" s="249"/>
      <c r="X564" s="344"/>
      <c r="Y564" s="337"/>
      <c r="Z564" s="33"/>
      <c r="AA564" s="83"/>
      <c r="AB564" s="33"/>
      <c r="AC564" s="83"/>
      <c r="AD564" s="33"/>
      <c r="AE564" s="83"/>
      <c r="AF564" s="33"/>
      <c r="AG564" s="244"/>
      <c r="AH564" s="83"/>
      <c r="AI564" s="246"/>
      <c r="AJ564" s="102"/>
      <c r="AK564" s="92"/>
      <c r="AL564" s="91"/>
      <c r="AM564" s="92"/>
      <c r="AN564" s="351"/>
      <c r="AO564" s="197">
        <f t="shared" si="35"/>
        <v>0</v>
      </c>
      <c r="AP564" s="91"/>
      <c r="AQ564" s="217"/>
      <c r="AR564" s="103"/>
      <c r="AS564" s="264"/>
      <c r="AT564" s="94"/>
      <c r="AU564" s="84"/>
      <c r="AV564" s="136"/>
      <c r="AW564" s="77"/>
      <c r="AX564" s="137"/>
      <c r="AY564" s="138"/>
      <c r="AZ564" s="220">
        <f t="shared" si="32"/>
        <v>0</v>
      </c>
      <c r="BA564" s="220">
        <f t="shared" si="33"/>
        <v>0</v>
      </c>
    </row>
    <row r="565" spans="1:53" ht="50.1" customHeight="1" x14ac:dyDescent="0.25">
      <c r="A565" s="17">
        <f t="shared" si="34"/>
        <v>551</v>
      </c>
      <c r="B565" s="228"/>
      <c r="C565" s="221"/>
      <c r="D565" s="88"/>
      <c r="E565" s="100"/>
      <c r="F565" s="95"/>
      <c r="G565" s="114"/>
      <c r="H565" s="96"/>
      <c r="I565" s="97"/>
      <c r="J565" s="98"/>
      <c r="K565" s="101"/>
      <c r="L565" s="124"/>
      <c r="M565" s="333"/>
      <c r="N565" s="341"/>
      <c r="O565" s="82"/>
      <c r="P565" s="93"/>
      <c r="Q565" s="82"/>
      <c r="R565" s="93"/>
      <c r="S565" s="298"/>
      <c r="T565" s="304"/>
      <c r="U565" s="307"/>
      <c r="V565" s="309"/>
      <c r="W565" s="248"/>
      <c r="X565" s="342"/>
      <c r="Y565" s="336"/>
      <c r="Z565" s="123"/>
      <c r="AA565" s="33"/>
      <c r="AB565" s="123"/>
      <c r="AC565" s="33"/>
      <c r="AD565" s="123"/>
      <c r="AE565" s="33"/>
      <c r="AF565" s="123"/>
      <c r="AG565" s="243"/>
      <c r="AH565" s="33"/>
      <c r="AI565" s="245"/>
      <c r="AJ565" s="125"/>
      <c r="AK565" s="91"/>
      <c r="AL565" s="126"/>
      <c r="AM565" s="91"/>
      <c r="AN565" s="91"/>
      <c r="AO565" s="197">
        <f t="shared" si="35"/>
        <v>0</v>
      </c>
      <c r="AP565" s="126"/>
      <c r="AQ565" s="216"/>
      <c r="AR565" s="127"/>
      <c r="AS565" s="269"/>
      <c r="AT565" s="94"/>
      <c r="AU565" s="84"/>
      <c r="AV565" s="80"/>
      <c r="AW565" s="81"/>
      <c r="AX565" s="77"/>
      <c r="AY565" s="107"/>
      <c r="AZ565" s="220">
        <f t="shared" si="32"/>
        <v>0</v>
      </c>
      <c r="BA565" s="220">
        <f t="shared" si="33"/>
        <v>0</v>
      </c>
    </row>
    <row r="566" spans="1:53" ht="50.1" customHeight="1" x14ac:dyDescent="0.25">
      <c r="A566" s="17">
        <f t="shared" si="34"/>
        <v>552</v>
      </c>
      <c r="B566" s="229"/>
      <c r="C566" s="222"/>
      <c r="D566" s="112"/>
      <c r="E566" s="128"/>
      <c r="F566" s="129"/>
      <c r="G566" s="130"/>
      <c r="H566" s="131"/>
      <c r="I566" s="132"/>
      <c r="J566" s="108"/>
      <c r="K566" s="133"/>
      <c r="L566" s="134"/>
      <c r="M566" s="334"/>
      <c r="N566" s="343"/>
      <c r="O566" s="135"/>
      <c r="P566" s="82"/>
      <c r="Q566" s="135"/>
      <c r="R566" s="82"/>
      <c r="S566" s="299"/>
      <c r="T566" s="305"/>
      <c r="U566" s="298"/>
      <c r="V566" s="304"/>
      <c r="W566" s="249"/>
      <c r="X566" s="344"/>
      <c r="Y566" s="337"/>
      <c r="Z566" s="33"/>
      <c r="AA566" s="83"/>
      <c r="AB566" s="33"/>
      <c r="AC566" s="83"/>
      <c r="AD566" s="33"/>
      <c r="AE566" s="83"/>
      <c r="AF566" s="33"/>
      <c r="AG566" s="244"/>
      <c r="AH566" s="83"/>
      <c r="AI566" s="246"/>
      <c r="AJ566" s="102"/>
      <c r="AK566" s="92"/>
      <c r="AL566" s="91"/>
      <c r="AM566" s="92"/>
      <c r="AN566" s="351"/>
      <c r="AO566" s="197">
        <f t="shared" si="35"/>
        <v>0</v>
      </c>
      <c r="AP566" s="91"/>
      <c r="AQ566" s="217"/>
      <c r="AR566" s="103"/>
      <c r="AS566" s="264"/>
      <c r="AT566" s="94"/>
      <c r="AU566" s="84"/>
      <c r="AV566" s="136"/>
      <c r="AW566" s="77"/>
      <c r="AX566" s="137"/>
      <c r="AY566" s="138"/>
      <c r="AZ566" s="220">
        <f t="shared" si="32"/>
        <v>0</v>
      </c>
      <c r="BA566" s="220">
        <f t="shared" si="33"/>
        <v>0</v>
      </c>
    </row>
    <row r="567" spans="1:53" ht="50.1" customHeight="1" x14ac:dyDescent="0.25">
      <c r="A567" s="17">
        <f t="shared" si="34"/>
        <v>553</v>
      </c>
      <c r="B567" s="228"/>
      <c r="C567" s="221"/>
      <c r="D567" s="88"/>
      <c r="E567" s="100"/>
      <c r="F567" s="95"/>
      <c r="G567" s="114"/>
      <c r="H567" s="96"/>
      <c r="I567" s="97"/>
      <c r="J567" s="98"/>
      <c r="K567" s="101"/>
      <c r="L567" s="124"/>
      <c r="M567" s="333"/>
      <c r="N567" s="341"/>
      <c r="O567" s="82"/>
      <c r="P567" s="93"/>
      <c r="Q567" s="82"/>
      <c r="R567" s="93"/>
      <c r="S567" s="298"/>
      <c r="T567" s="304"/>
      <c r="U567" s="307"/>
      <c r="V567" s="309"/>
      <c r="W567" s="248"/>
      <c r="X567" s="342"/>
      <c r="Y567" s="336"/>
      <c r="Z567" s="123"/>
      <c r="AA567" s="33"/>
      <c r="AB567" s="123"/>
      <c r="AC567" s="33"/>
      <c r="AD567" s="123"/>
      <c r="AE567" s="33"/>
      <c r="AF567" s="123"/>
      <c r="AG567" s="243"/>
      <c r="AH567" s="33"/>
      <c r="AI567" s="245"/>
      <c r="AJ567" s="125"/>
      <c r="AK567" s="91"/>
      <c r="AL567" s="126"/>
      <c r="AM567" s="91"/>
      <c r="AN567" s="91"/>
      <c r="AO567" s="197">
        <f t="shared" si="35"/>
        <v>0</v>
      </c>
      <c r="AP567" s="126"/>
      <c r="AQ567" s="216"/>
      <c r="AR567" s="127"/>
      <c r="AS567" s="269"/>
      <c r="AT567" s="94"/>
      <c r="AU567" s="84"/>
      <c r="AV567" s="80"/>
      <c r="AW567" s="81"/>
      <c r="AX567" s="77"/>
      <c r="AY567" s="107"/>
      <c r="AZ567" s="220">
        <f t="shared" si="32"/>
        <v>0</v>
      </c>
      <c r="BA567" s="220">
        <f t="shared" si="33"/>
        <v>0</v>
      </c>
    </row>
    <row r="568" spans="1:53" ht="50.1" customHeight="1" x14ac:dyDescent="0.25">
      <c r="A568" s="17">
        <f t="shared" si="34"/>
        <v>554</v>
      </c>
      <c r="B568" s="229"/>
      <c r="C568" s="222"/>
      <c r="D568" s="112"/>
      <c r="E568" s="128"/>
      <c r="F568" s="129"/>
      <c r="G568" s="130"/>
      <c r="H568" s="131"/>
      <c r="I568" s="132"/>
      <c r="J568" s="108"/>
      <c r="K568" s="133"/>
      <c r="L568" s="134"/>
      <c r="M568" s="334"/>
      <c r="N568" s="343"/>
      <c r="O568" s="135"/>
      <c r="P568" s="82"/>
      <c r="Q568" s="135"/>
      <c r="R568" s="82"/>
      <c r="S568" s="299"/>
      <c r="T568" s="305"/>
      <c r="U568" s="298"/>
      <c r="V568" s="304"/>
      <c r="W568" s="249"/>
      <c r="X568" s="344"/>
      <c r="Y568" s="337"/>
      <c r="Z568" s="33"/>
      <c r="AA568" s="83"/>
      <c r="AB568" s="33"/>
      <c r="AC568" s="83"/>
      <c r="AD568" s="33"/>
      <c r="AE568" s="83"/>
      <c r="AF568" s="33"/>
      <c r="AG568" s="244"/>
      <c r="AH568" s="83"/>
      <c r="AI568" s="246"/>
      <c r="AJ568" s="102"/>
      <c r="AK568" s="92"/>
      <c r="AL568" s="91"/>
      <c r="AM568" s="92"/>
      <c r="AN568" s="351"/>
      <c r="AO568" s="197">
        <f t="shared" si="35"/>
        <v>0</v>
      </c>
      <c r="AP568" s="91"/>
      <c r="AQ568" s="217"/>
      <c r="AR568" s="103"/>
      <c r="AS568" s="264"/>
      <c r="AT568" s="94"/>
      <c r="AU568" s="84"/>
      <c r="AV568" s="136"/>
      <c r="AW568" s="77"/>
      <c r="AX568" s="137"/>
      <c r="AY568" s="138"/>
      <c r="AZ568" s="220">
        <f t="shared" si="32"/>
        <v>0</v>
      </c>
      <c r="BA568" s="220">
        <f t="shared" si="33"/>
        <v>0</v>
      </c>
    </row>
    <row r="569" spans="1:53" ht="50.1" customHeight="1" x14ac:dyDescent="0.25">
      <c r="A569" s="17">
        <f t="shared" si="34"/>
        <v>555</v>
      </c>
      <c r="B569" s="228"/>
      <c r="C569" s="221"/>
      <c r="D569" s="88"/>
      <c r="E569" s="100"/>
      <c r="F569" s="95"/>
      <c r="G569" s="114"/>
      <c r="H569" s="96"/>
      <c r="I569" s="97"/>
      <c r="J569" s="98"/>
      <c r="K569" s="101"/>
      <c r="L569" s="124"/>
      <c r="M569" s="333"/>
      <c r="N569" s="341"/>
      <c r="O569" s="82"/>
      <c r="P569" s="93"/>
      <c r="Q569" s="82"/>
      <c r="R569" s="93"/>
      <c r="S569" s="298"/>
      <c r="T569" s="304"/>
      <c r="U569" s="307"/>
      <c r="V569" s="309"/>
      <c r="W569" s="248"/>
      <c r="X569" s="342"/>
      <c r="Y569" s="336"/>
      <c r="Z569" s="123"/>
      <c r="AA569" s="33"/>
      <c r="AB569" s="123"/>
      <c r="AC569" s="33"/>
      <c r="AD569" s="123"/>
      <c r="AE569" s="33"/>
      <c r="AF569" s="123"/>
      <c r="AG569" s="243"/>
      <c r="AH569" s="33"/>
      <c r="AI569" s="245"/>
      <c r="AJ569" s="125"/>
      <c r="AK569" s="91"/>
      <c r="AL569" s="126"/>
      <c r="AM569" s="91"/>
      <c r="AN569" s="91"/>
      <c r="AO569" s="197">
        <f t="shared" si="35"/>
        <v>0</v>
      </c>
      <c r="AP569" s="126"/>
      <c r="AQ569" s="216"/>
      <c r="AR569" s="127"/>
      <c r="AS569" s="269"/>
      <c r="AT569" s="94"/>
      <c r="AU569" s="84"/>
      <c r="AV569" s="80"/>
      <c r="AW569" s="81"/>
      <c r="AX569" s="77"/>
      <c r="AY569" s="107"/>
      <c r="AZ569" s="220">
        <f t="shared" si="32"/>
        <v>0</v>
      </c>
      <c r="BA569" s="220">
        <f t="shared" si="33"/>
        <v>0</v>
      </c>
    </row>
    <row r="570" spans="1:53" ht="50.1" customHeight="1" x14ac:dyDescent="0.25">
      <c r="A570" s="17">
        <f t="shared" si="34"/>
        <v>556</v>
      </c>
      <c r="B570" s="229"/>
      <c r="C570" s="222"/>
      <c r="D570" s="112"/>
      <c r="E570" s="128"/>
      <c r="F570" s="129"/>
      <c r="G570" s="130"/>
      <c r="H570" s="131"/>
      <c r="I570" s="132"/>
      <c r="J570" s="108"/>
      <c r="K570" s="133"/>
      <c r="L570" s="134"/>
      <c r="M570" s="334"/>
      <c r="N570" s="343"/>
      <c r="O570" s="135"/>
      <c r="P570" s="82"/>
      <c r="Q570" s="135"/>
      <c r="R570" s="82"/>
      <c r="S570" s="299"/>
      <c r="T570" s="305"/>
      <c r="U570" s="298"/>
      <c r="V570" s="304"/>
      <c r="W570" s="249"/>
      <c r="X570" s="344"/>
      <c r="Y570" s="337"/>
      <c r="Z570" s="33"/>
      <c r="AA570" s="83"/>
      <c r="AB570" s="33"/>
      <c r="AC570" s="83"/>
      <c r="AD570" s="33"/>
      <c r="AE570" s="83"/>
      <c r="AF570" s="33"/>
      <c r="AG570" s="244"/>
      <c r="AH570" s="83"/>
      <c r="AI570" s="246"/>
      <c r="AJ570" s="102"/>
      <c r="AK570" s="92"/>
      <c r="AL570" s="91"/>
      <c r="AM570" s="92"/>
      <c r="AN570" s="351"/>
      <c r="AO570" s="197">
        <f t="shared" si="35"/>
        <v>0</v>
      </c>
      <c r="AP570" s="91"/>
      <c r="AQ570" s="217"/>
      <c r="AR570" s="103"/>
      <c r="AS570" s="264"/>
      <c r="AT570" s="94"/>
      <c r="AU570" s="84"/>
      <c r="AV570" s="136"/>
      <c r="AW570" s="77"/>
      <c r="AX570" s="137"/>
      <c r="AY570" s="138"/>
      <c r="AZ570" s="220">
        <f t="shared" si="32"/>
        <v>0</v>
      </c>
      <c r="BA570" s="220">
        <f t="shared" si="33"/>
        <v>0</v>
      </c>
    </row>
    <row r="571" spans="1:53" ht="50.1" customHeight="1" x14ac:dyDescent="0.25">
      <c r="A571" s="17">
        <f t="shared" si="34"/>
        <v>557</v>
      </c>
      <c r="B571" s="228"/>
      <c r="C571" s="221"/>
      <c r="D571" s="88"/>
      <c r="E571" s="100"/>
      <c r="F571" s="95"/>
      <c r="G571" s="114"/>
      <c r="H571" s="96"/>
      <c r="I571" s="97"/>
      <c r="J571" s="98"/>
      <c r="K571" s="101"/>
      <c r="L571" s="124"/>
      <c r="M571" s="333"/>
      <c r="N571" s="341"/>
      <c r="O571" s="82"/>
      <c r="P571" s="93"/>
      <c r="Q571" s="82"/>
      <c r="R571" s="93"/>
      <c r="S571" s="298"/>
      <c r="T571" s="304"/>
      <c r="U571" s="307"/>
      <c r="V571" s="309"/>
      <c r="W571" s="248"/>
      <c r="X571" s="342"/>
      <c r="Y571" s="336"/>
      <c r="Z571" s="123"/>
      <c r="AA571" s="33"/>
      <c r="AB571" s="123"/>
      <c r="AC571" s="33"/>
      <c r="AD571" s="123"/>
      <c r="AE571" s="33"/>
      <c r="AF571" s="123"/>
      <c r="AG571" s="243"/>
      <c r="AH571" s="33"/>
      <c r="AI571" s="245"/>
      <c r="AJ571" s="125"/>
      <c r="AK571" s="91"/>
      <c r="AL571" s="126"/>
      <c r="AM571" s="91"/>
      <c r="AN571" s="91"/>
      <c r="AO571" s="197">
        <f t="shared" si="35"/>
        <v>0</v>
      </c>
      <c r="AP571" s="126"/>
      <c r="AQ571" s="216"/>
      <c r="AR571" s="127"/>
      <c r="AS571" s="269"/>
      <c r="AT571" s="94"/>
      <c r="AU571" s="84"/>
      <c r="AV571" s="80"/>
      <c r="AW571" s="81"/>
      <c r="AX571" s="77"/>
      <c r="AY571" s="107"/>
      <c r="AZ571" s="220">
        <f t="shared" si="32"/>
        <v>0</v>
      </c>
      <c r="BA571" s="220">
        <f t="shared" si="33"/>
        <v>0</v>
      </c>
    </row>
    <row r="572" spans="1:53" ht="50.1" customHeight="1" x14ac:dyDescent="0.25">
      <c r="A572" s="17">
        <f t="shared" si="34"/>
        <v>558</v>
      </c>
      <c r="B572" s="229"/>
      <c r="C572" s="222"/>
      <c r="D572" s="112"/>
      <c r="E572" s="128"/>
      <c r="F572" s="129"/>
      <c r="G572" s="130"/>
      <c r="H572" s="131"/>
      <c r="I572" s="132"/>
      <c r="J572" s="108"/>
      <c r="K572" s="133"/>
      <c r="L572" s="134"/>
      <c r="M572" s="334"/>
      <c r="N572" s="343"/>
      <c r="O572" s="135"/>
      <c r="P572" s="82"/>
      <c r="Q572" s="135"/>
      <c r="R572" s="82"/>
      <c r="S572" s="299"/>
      <c r="T572" s="305"/>
      <c r="U572" s="298"/>
      <c r="V572" s="304"/>
      <c r="W572" s="249"/>
      <c r="X572" s="344"/>
      <c r="Y572" s="337"/>
      <c r="Z572" s="33"/>
      <c r="AA572" s="83"/>
      <c r="AB572" s="33"/>
      <c r="AC572" s="83"/>
      <c r="AD572" s="33"/>
      <c r="AE572" s="83"/>
      <c r="AF572" s="33"/>
      <c r="AG572" s="244"/>
      <c r="AH572" s="83"/>
      <c r="AI572" s="246"/>
      <c r="AJ572" s="102"/>
      <c r="AK572" s="92"/>
      <c r="AL572" s="91"/>
      <c r="AM572" s="92"/>
      <c r="AN572" s="351"/>
      <c r="AO572" s="197">
        <f t="shared" si="35"/>
        <v>0</v>
      </c>
      <c r="AP572" s="91"/>
      <c r="AQ572" s="217"/>
      <c r="AR572" s="103"/>
      <c r="AS572" s="264"/>
      <c r="AT572" s="94"/>
      <c r="AU572" s="84"/>
      <c r="AV572" s="136"/>
      <c r="AW572" s="77"/>
      <c r="AX572" s="137"/>
      <c r="AY572" s="138"/>
      <c r="AZ572" s="220">
        <f t="shared" si="32"/>
        <v>0</v>
      </c>
      <c r="BA572" s="220">
        <f t="shared" si="33"/>
        <v>0</v>
      </c>
    </row>
    <row r="573" spans="1:53" ht="50.1" customHeight="1" x14ac:dyDescent="0.25">
      <c r="A573" s="17">
        <f t="shared" si="34"/>
        <v>559</v>
      </c>
      <c r="B573" s="228"/>
      <c r="C573" s="221"/>
      <c r="D573" s="88"/>
      <c r="E573" s="100"/>
      <c r="F573" s="95"/>
      <c r="G573" s="114"/>
      <c r="H573" s="96"/>
      <c r="I573" s="97"/>
      <c r="J573" s="98"/>
      <c r="K573" s="101"/>
      <c r="L573" s="124"/>
      <c r="M573" s="333"/>
      <c r="N573" s="341"/>
      <c r="O573" s="82"/>
      <c r="P573" s="93"/>
      <c r="Q573" s="82"/>
      <c r="R573" s="93"/>
      <c r="S573" s="298"/>
      <c r="T573" s="304"/>
      <c r="U573" s="307"/>
      <c r="V573" s="309"/>
      <c r="W573" s="248"/>
      <c r="X573" s="342"/>
      <c r="Y573" s="336"/>
      <c r="Z573" s="123"/>
      <c r="AA573" s="33"/>
      <c r="AB573" s="123"/>
      <c r="AC573" s="33"/>
      <c r="AD573" s="123"/>
      <c r="AE573" s="33"/>
      <c r="AF573" s="123"/>
      <c r="AG573" s="243"/>
      <c r="AH573" s="33"/>
      <c r="AI573" s="245"/>
      <c r="AJ573" s="125"/>
      <c r="AK573" s="91"/>
      <c r="AL573" s="126"/>
      <c r="AM573" s="91"/>
      <c r="AN573" s="91"/>
      <c r="AO573" s="197">
        <f t="shared" si="35"/>
        <v>0</v>
      </c>
      <c r="AP573" s="126"/>
      <c r="AQ573" s="216"/>
      <c r="AR573" s="127"/>
      <c r="AS573" s="269"/>
      <c r="AT573" s="94"/>
      <c r="AU573" s="84"/>
      <c r="AV573" s="80"/>
      <c r="AW573" s="81"/>
      <c r="AX573" s="77"/>
      <c r="AY573" s="107"/>
      <c r="AZ573" s="220">
        <f t="shared" si="32"/>
        <v>0</v>
      </c>
      <c r="BA573" s="220">
        <f t="shared" si="33"/>
        <v>0</v>
      </c>
    </row>
    <row r="574" spans="1:53" ht="50.1" customHeight="1" x14ac:dyDescent="0.25">
      <c r="A574" s="17">
        <f t="shared" si="34"/>
        <v>560</v>
      </c>
      <c r="B574" s="229"/>
      <c r="C574" s="222"/>
      <c r="D574" s="112"/>
      <c r="E574" s="128"/>
      <c r="F574" s="129"/>
      <c r="G574" s="130"/>
      <c r="H574" s="131"/>
      <c r="I574" s="132"/>
      <c r="J574" s="108"/>
      <c r="K574" s="133"/>
      <c r="L574" s="134"/>
      <c r="M574" s="334"/>
      <c r="N574" s="343"/>
      <c r="O574" s="135"/>
      <c r="P574" s="82"/>
      <c r="Q574" s="135"/>
      <c r="R574" s="82"/>
      <c r="S574" s="299"/>
      <c r="T574" s="305"/>
      <c r="U574" s="298"/>
      <c r="V574" s="304"/>
      <c r="W574" s="249"/>
      <c r="X574" s="344"/>
      <c r="Y574" s="337"/>
      <c r="Z574" s="33"/>
      <c r="AA574" s="83"/>
      <c r="AB574" s="33"/>
      <c r="AC574" s="83"/>
      <c r="AD574" s="33"/>
      <c r="AE574" s="83"/>
      <c r="AF574" s="33"/>
      <c r="AG574" s="244"/>
      <c r="AH574" s="83"/>
      <c r="AI574" s="246"/>
      <c r="AJ574" s="102"/>
      <c r="AK574" s="92"/>
      <c r="AL574" s="91"/>
      <c r="AM574" s="92"/>
      <c r="AN574" s="351"/>
      <c r="AO574" s="197">
        <f t="shared" si="35"/>
        <v>0</v>
      </c>
      <c r="AP574" s="91"/>
      <c r="AQ574" s="217"/>
      <c r="AR574" s="103"/>
      <c r="AS574" s="264"/>
      <c r="AT574" s="94"/>
      <c r="AU574" s="84"/>
      <c r="AV574" s="136"/>
      <c r="AW574" s="77"/>
      <c r="AX574" s="137"/>
      <c r="AY574" s="138"/>
      <c r="AZ574" s="220">
        <f t="shared" si="32"/>
        <v>0</v>
      </c>
      <c r="BA574" s="220">
        <f t="shared" si="33"/>
        <v>0</v>
      </c>
    </row>
    <row r="575" spans="1:53" ht="50.1" customHeight="1" x14ac:dyDescent="0.25">
      <c r="A575" s="17">
        <f t="shared" si="34"/>
        <v>561</v>
      </c>
      <c r="B575" s="228"/>
      <c r="C575" s="221"/>
      <c r="D575" s="88"/>
      <c r="E575" s="100"/>
      <c r="F575" s="95"/>
      <c r="G575" s="114"/>
      <c r="H575" s="96"/>
      <c r="I575" s="97"/>
      <c r="J575" s="98"/>
      <c r="K575" s="101"/>
      <c r="L575" s="124"/>
      <c r="M575" s="333"/>
      <c r="N575" s="341"/>
      <c r="O575" s="82"/>
      <c r="P575" s="93"/>
      <c r="Q575" s="82"/>
      <c r="R575" s="93"/>
      <c r="S575" s="298"/>
      <c r="T575" s="304"/>
      <c r="U575" s="307"/>
      <c r="V575" s="309"/>
      <c r="W575" s="248"/>
      <c r="X575" s="342"/>
      <c r="Y575" s="336"/>
      <c r="Z575" s="123"/>
      <c r="AA575" s="33"/>
      <c r="AB575" s="123"/>
      <c r="AC575" s="33"/>
      <c r="AD575" s="123"/>
      <c r="AE575" s="33"/>
      <c r="AF575" s="123"/>
      <c r="AG575" s="243"/>
      <c r="AH575" s="33"/>
      <c r="AI575" s="245"/>
      <c r="AJ575" s="125"/>
      <c r="AK575" s="91"/>
      <c r="AL575" s="126"/>
      <c r="AM575" s="91"/>
      <c r="AN575" s="91"/>
      <c r="AO575" s="197">
        <f t="shared" si="35"/>
        <v>0</v>
      </c>
      <c r="AP575" s="126"/>
      <c r="AQ575" s="216"/>
      <c r="AR575" s="127"/>
      <c r="AS575" s="269"/>
      <c r="AT575" s="94"/>
      <c r="AU575" s="84"/>
      <c r="AV575" s="80"/>
      <c r="AW575" s="81"/>
      <c r="AX575" s="77"/>
      <c r="AY575" s="107"/>
      <c r="AZ575" s="220">
        <f t="shared" si="32"/>
        <v>0</v>
      </c>
      <c r="BA575" s="220">
        <f t="shared" si="33"/>
        <v>0</v>
      </c>
    </row>
    <row r="576" spans="1:53" ht="50.1" customHeight="1" x14ac:dyDescent="0.25">
      <c r="A576" s="17">
        <f t="shared" si="34"/>
        <v>562</v>
      </c>
      <c r="B576" s="229"/>
      <c r="C576" s="222"/>
      <c r="D576" s="112"/>
      <c r="E576" s="128"/>
      <c r="F576" s="129"/>
      <c r="G576" s="130"/>
      <c r="H576" s="131"/>
      <c r="I576" s="132"/>
      <c r="J576" s="108"/>
      <c r="K576" s="133"/>
      <c r="L576" s="134"/>
      <c r="M576" s="334"/>
      <c r="N576" s="343"/>
      <c r="O576" s="135"/>
      <c r="P576" s="82"/>
      <c r="Q576" s="135"/>
      <c r="R576" s="82"/>
      <c r="S576" s="299"/>
      <c r="T576" s="305"/>
      <c r="U576" s="298"/>
      <c r="V576" s="304"/>
      <c r="W576" s="249"/>
      <c r="X576" s="344"/>
      <c r="Y576" s="337"/>
      <c r="Z576" s="33"/>
      <c r="AA576" s="83"/>
      <c r="AB576" s="33"/>
      <c r="AC576" s="83"/>
      <c r="AD576" s="33"/>
      <c r="AE576" s="83"/>
      <c r="AF576" s="33"/>
      <c r="AG576" s="244"/>
      <c r="AH576" s="83"/>
      <c r="AI576" s="246"/>
      <c r="AJ576" s="102"/>
      <c r="AK576" s="92"/>
      <c r="AL576" s="91"/>
      <c r="AM576" s="92"/>
      <c r="AN576" s="351"/>
      <c r="AO576" s="197">
        <f t="shared" si="35"/>
        <v>0</v>
      </c>
      <c r="AP576" s="91"/>
      <c r="AQ576" s="217"/>
      <c r="AR576" s="103"/>
      <c r="AS576" s="264"/>
      <c r="AT576" s="94"/>
      <c r="AU576" s="84"/>
      <c r="AV576" s="136"/>
      <c r="AW576" s="77"/>
      <c r="AX576" s="137"/>
      <c r="AY576" s="138"/>
      <c r="AZ576" s="220">
        <f t="shared" si="32"/>
        <v>0</v>
      </c>
      <c r="BA576" s="220">
        <f t="shared" si="33"/>
        <v>0</v>
      </c>
    </row>
    <row r="577" spans="1:53" ht="50.1" customHeight="1" x14ac:dyDescent="0.25">
      <c r="A577" s="17">
        <f t="shared" si="34"/>
        <v>563</v>
      </c>
      <c r="B577" s="228"/>
      <c r="C577" s="221"/>
      <c r="D577" s="88"/>
      <c r="E577" s="100"/>
      <c r="F577" s="95"/>
      <c r="G577" s="114"/>
      <c r="H577" s="96"/>
      <c r="I577" s="97"/>
      <c r="J577" s="98"/>
      <c r="K577" s="101"/>
      <c r="L577" s="124"/>
      <c r="M577" s="333"/>
      <c r="N577" s="341"/>
      <c r="O577" s="82"/>
      <c r="P577" s="93"/>
      <c r="Q577" s="82"/>
      <c r="R577" s="93"/>
      <c r="S577" s="298"/>
      <c r="T577" s="304"/>
      <c r="U577" s="307"/>
      <c r="V577" s="309"/>
      <c r="W577" s="248"/>
      <c r="X577" s="342"/>
      <c r="Y577" s="336"/>
      <c r="Z577" s="123"/>
      <c r="AA577" s="33"/>
      <c r="AB577" s="123"/>
      <c r="AC577" s="33"/>
      <c r="AD577" s="123"/>
      <c r="AE577" s="33"/>
      <c r="AF577" s="123"/>
      <c r="AG577" s="243"/>
      <c r="AH577" s="33"/>
      <c r="AI577" s="245"/>
      <c r="AJ577" s="125"/>
      <c r="AK577" s="91"/>
      <c r="AL577" s="126"/>
      <c r="AM577" s="91"/>
      <c r="AN577" s="91"/>
      <c r="AO577" s="197">
        <f t="shared" si="35"/>
        <v>0</v>
      </c>
      <c r="AP577" s="126"/>
      <c r="AQ577" s="216"/>
      <c r="AR577" s="127"/>
      <c r="AS577" s="269"/>
      <c r="AT577" s="94"/>
      <c r="AU577" s="84"/>
      <c r="AV577" s="80"/>
      <c r="AW577" s="81"/>
      <c r="AX577" s="77"/>
      <c r="AY577" s="107"/>
      <c r="AZ577" s="220">
        <f t="shared" si="32"/>
        <v>0</v>
      </c>
      <c r="BA577" s="220">
        <f t="shared" si="33"/>
        <v>0</v>
      </c>
    </row>
    <row r="578" spans="1:53" ht="50.1" customHeight="1" x14ac:dyDescent="0.25">
      <c r="A578" s="17">
        <f t="shared" si="34"/>
        <v>564</v>
      </c>
      <c r="B578" s="229"/>
      <c r="C578" s="222"/>
      <c r="D578" s="112"/>
      <c r="E578" s="128"/>
      <c r="F578" s="129"/>
      <c r="G578" s="130"/>
      <c r="H578" s="131"/>
      <c r="I578" s="132"/>
      <c r="J578" s="108"/>
      <c r="K578" s="133"/>
      <c r="L578" s="134"/>
      <c r="M578" s="334"/>
      <c r="N578" s="343"/>
      <c r="O578" s="135"/>
      <c r="P578" s="82"/>
      <c r="Q578" s="135"/>
      <c r="R578" s="82"/>
      <c r="S578" s="299"/>
      <c r="T578" s="305"/>
      <c r="U578" s="298"/>
      <c r="V578" s="304"/>
      <c r="W578" s="249"/>
      <c r="X578" s="344"/>
      <c r="Y578" s="337"/>
      <c r="Z578" s="33"/>
      <c r="AA578" s="83"/>
      <c r="AB578" s="33"/>
      <c r="AC578" s="83"/>
      <c r="AD578" s="33"/>
      <c r="AE578" s="83"/>
      <c r="AF578" s="33"/>
      <c r="AG578" s="244"/>
      <c r="AH578" s="83"/>
      <c r="AI578" s="246"/>
      <c r="AJ578" s="102"/>
      <c r="AK578" s="92"/>
      <c r="AL578" s="91"/>
      <c r="AM578" s="92"/>
      <c r="AN578" s="351"/>
      <c r="AO578" s="197">
        <f t="shared" si="35"/>
        <v>0</v>
      </c>
      <c r="AP578" s="91"/>
      <c r="AQ578" s="217"/>
      <c r="AR578" s="103"/>
      <c r="AS578" s="264"/>
      <c r="AT578" s="94"/>
      <c r="AU578" s="84"/>
      <c r="AV578" s="136"/>
      <c r="AW578" s="77"/>
      <c r="AX578" s="137"/>
      <c r="AY578" s="138"/>
      <c r="AZ578" s="220">
        <f t="shared" si="32"/>
        <v>0</v>
      </c>
      <c r="BA578" s="220">
        <f t="shared" si="33"/>
        <v>0</v>
      </c>
    </row>
    <row r="579" spans="1:53" ht="50.1" customHeight="1" x14ac:dyDescent="0.25">
      <c r="A579" s="17">
        <f t="shared" si="34"/>
        <v>565</v>
      </c>
      <c r="B579" s="228"/>
      <c r="C579" s="221"/>
      <c r="D579" s="88"/>
      <c r="E579" s="100"/>
      <c r="F579" s="95"/>
      <c r="G579" s="114"/>
      <c r="H579" s="96"/>
      <c r="I579" s="97"/>
      <c r="J579" s="98"/>
      <c r="K579" s="101"/>
      <c r="L579" s="124"/>
      <c r="M579" s="333"/>
      <c r="N579" s="341"/>
      <c r="O579" s="82"/>
      <c r="P579" s="93"/>
      <c r="Q579" s="82"/>
      <c r="R579" s="93"/>
      <c r="S579" s="298"/>
      <c r="T579" s="304"/>
      <c r="U579" s="307"/>
      <c r="V579" s="309"/>
      <c r="W579" s="248"/>
      <c r="X579" s="342"/>
      <c r="Y579" s="336"/>
      <c r="Z579" s="123"/>
      <c r="AA579" s="33"/>
      <c r="AB579" s="123"/>
      <c r="AC579" s="33"/>
      <c r="AD579" s="123"/>
      <c r="AE579" s="33"/>
      <c r="AF579" s="123"/>
      <c r="AG579" s="243"/>
      <c r="AH579" s="33"/>
      <c r="AI579" s="245"/>
      <c r="AJ579" s="125"/>
      <c r="AK579" s="91"/>
      <c r="AL579" s="126"/>
      <c r="AM579" s="91"/>
      <c r="AN579" s="91"/>
      <c r="AO579" s="197">
        <f t="shared" si="35"/>
        <v>0</v>
      </c>
      <c r="AP579" s="126"/>
      <c r="AQ579" s="216"/>
      <c r="AR579" s="127"/>
      <c r="AS579" s="269"/>
      <c r="AT579" s="94"/>
      <c r="AU579" s="84"/>
      <c r="AV579" s="80"/>
      <c r="AW579" s="81"/>
      <c r="AX579" s="77"/>
      <c r="AY579" s="107"/>
      <c r="AZ579" s="220">
        <f t="shared" si="32"/>
        <v>0</v>
      </c>
      <c r="BA579" s="220">
        <f t="shared" si="33"/>
        <v>0</v>
      </c>
    </row>
    <row r="580" spans="1:53" ht="50.1" customHeight="1" x14ac:dyDescent="0.25">
      <c r="A580" s="17">
        <f t="shared" si="34"/>
        <v>566</v>
      </c>
      <c r="B580" s="229"/>
      <c r="C580" s="222"/>
      <c r="D580" s="112"/>
      <c r="E580" s="128"/>
      <c r="F580" s="129"/>
      <c r="G580" s="130"/>
      <c r="H580" s="131"/>
      <c r="I580" s="132"/>
      <c r="J580" s="108"/>
      <c r="K580" s="133"/>
      <c r="L580" s="134"/>
      <c r="M580" s="334"/>
      <c r="N580" s="343"/>
      <c r="O580" s="135"/>
      <c r="P580" s="82"/>
      <c r="Q580" s="135"/>
      <c r="R580" s="82"/>
      <c r="S580" s="299"/>
      <c r="T580" s="305"/>
      <c r="U580" s="298"/>
      <c r="V580" s="304"/>
      <c r="W580" s="249"/>
      <c r="X580" s="344"/>
      <c r="Y580" s="337"/>
      <c r="Z580" s="33"/>
      <c r="AA580" s="83"/>
      <c r="AB580" s="33"/>
      <c r="AC580" s="83"/>
      <c r="AD580" s="33"/>
      <c r="AE580" s="83"/>
      <c r="AF580" s="33"/>
      <c r="AG580" s="244"/>
      <c r="AH580" s="83"/>
      <c r="AI580" s="246"/>
      <c r="AJ580" s="102"/>
      <c r="AK580" s="92"/>
      <c r="AL580" s="91"/>
      <c r="AM580" s="92"/>
      <c r="AN580" s="351"/>
      <c r="AO580" s="197">
        <f t="shared" si="35"/>
        <v>0</v>
      </c>
      <c r="AP580" s="91"/>
      <c r="AQ580" s="217"/>
      <c r="AR580" s="103"/>
      <c r="AS580" s="264"/>
      <c r="AT580" s="94"/>
      <c r="AU580" s="84"/>
      <c r="AV580" s="136"/>
      <c r="AW580" s="77"/>
      <c r="AX580" s="137"/>
      <c r="AY580" s="138"/>
      <c r="AZ580" s="220">
        <f t="shared" si="32"/>
        <v>0</v>
      </c>
      <c r="BA580" s="220">
        <f t="shared" si="33"/>
        <v>0</v>
      </c>
    </row>
    <row r="581" spans="1:53" ht="50.1" customHeight="1" x14ac:dyDescent="0.25">
      <c r="A581" s="17">
        <f t="shared" si="34"/>
        <v>567</v>
      </c>
      <c r="B581" s="228"/>
      <c r="C581" s="221"/>
      <c r="D581" s="88"/>
      <c r="E581" s="100"/>
      <c r="F581" s="95"/>
      <c r="G581" s="114"/>
      <c r="H581" s="96"/>
      <c r="I581" s="97"/>
      <c r="J581" s="98"/>
      <c r="K581" s="101"/>
      <c r="L581" s="124"/>
      <c r="M581" s="333"/>
      <c r="N581" s="341"/>
      <c r="O581" s="82"/>
      <c r="P581" s="93"/>
      <c r="Q581" s="82"/>
      <c r="R581" s="93"/>
      <c r="S581" s="298"/>
      <c r="T581" s="304"/>
      <c r="U581" s="307"/>
      <c r="V581" s="309"/>
      <c r="W581" s="248"/>
      <c r="X581" s="342"/>
      <c r="Y581" s="336"/>
      <c r="Z581" s="123"/>
      <c r="AA581" s="33"/>
      <c r="AB581" s="123"/>
      <c r="AC581" s="33"/>
      <c r="AD581" s="123"/>
      <c r="AE581" s="33"/>
      <c r="AF581" s="123"/>
      <c r="AG581" s="243"/>
      <c r="AH581" s="33"/>
      <c r="AI581" s="245"/>
      <c r="AJ581" s="125"/>
      <c r="AK581" s="91"/>
      <c r="AL581" s="126"/>
      <c r="AM581" s="91"/>
      <c r="AN581" s="91"/>
      <c r="AO581" s="197">
        <f t="shared" si="35"/>
        <v>0</v>
      </c>
      <c r="AP581" s="126"/>
      <c r="AQ581" s="216"/>
      <c r="AR581" s="127"/>
      <c r="AS581" s="269"/>
      <c r="AT581" s="94"/>
      <c r="AU581" s="84"/>
      <c r="AV581" s="80"/>
      <c r="AW581" s="81"/>
      <c r="AX581" s="77"/>
      <c r="AY581" s="107"/>
      <c r="AZ581" s="220">
        <f t="shared" si="32"/>
        <v>0</v>
      </c>
      <c r="BA581" s="220">
        <f t="shared" si="33"/>
        <v>0</v>
      </c>
    </row>
    <row r="582" spans="1:53" ht="50.1" customHeight="1" x14ac:dyDescent="0.25">
      <c r="A582" s="17">
        <f t="shared" si="34"/>
        <v>568</v>
      </c>
      <c r="B582" s="229"/>
      <c r="C582" s="222"/>
      <c r="D582" s="112"/>
      <c r="E582" s="128"/>
      <c r="F582" s="129"/>
      <c r="G582" s="130"/>
      <c r="H582" s="131"/>
      <c r="I582" s="132"/>
      <c r="J582" s="108"/>
      <c r="K582" s="133"/>
      <c r="L582" s="134"/>
      <c r="M582" s="334"/>
      <c r="N582" s="343"/>
      <c r="O582" s="135"/>
      <c r="P582" s="82"/>
      <c r="Q582" s="135"/>
      <c r="R582" s="82"/>
      <c r="S582" s="299"/>
      <c r="T582" s="305"/>
      <c r="U582" s="298"/>
      <c r="V582" s="304"/>
      <c r="W582" s="249"/>
      <c r="X582" s="344"/>
      <c r="Y582" s="337"/>
      <c r="Z582" s="33"/>
      <c r="AA582" s="83"/>
      <c r="AB582" s="33"/>
      <c r="AC582" s="83"/>
      <c r="AD582" s="33"/>
      <c r="AE582" s="83"/>
      <c r="AF582" s="33"/>
      <c r="AG582" s="244"/>
      <c r="AH582" s="83"/>
      <c r="AI582" s="246"/>
      <c r="AJ582" s="102"/>
      <c r="AK582" s="92"/>
      <c r="AL582" s="91"/>
      <c r="AM582" s="92"/>
      <c r="AN582" s="351"/>
      <c r="AO582" s="197">
        <f t="shared" si="35"/>
        <v>0</v>
      </c>
      <c r="AP582" s="91"/>
      <c r="AQ582" s="217"/>
      <c r="AR582" s="103"/>
      <c r="AS582" s="264"/>
      <c r="AT582" s="94"/>
      <c r="AU582" s="84"/>
      <c r="AV582" s="136"/>
      <c r="AW582" s="77"/>
      <c r="AX582" s="137"/>
      <c r="AY582" s="138"/>
      <c r="AZ582" s="220">
        <f t="shared" si="32"/>
        <v>0</v>
      </c>
      <c r="BA582" s="220">
        <f t="shared" si="33"/>
        <v>0</v>
      </c>
    </row>
    <row r="583" spans="1:53" ht="50.1" customHeight="1" x14ac:dyDescent="0.25">
      <c r="A583" s="17">
        <f t="shared" si="34"/>
        <v>569</v>
      </c>
      <c r="B583" s="228"/>
      <c r="C583" s="221"/>
      <c r="D583" s="88"/>
      <c r="E583" s="100"/>
      <c r="F583" s="95"/>
      <c r="G583" s="114"/>
      <c r="H583" s="96"/>
      <c r="I583" s="97"/>
      <c r="J583" s="98"/>
      <c r="K583" s="101"/>
      <c r="L583" s="124"/>
      <c r="M583" s="333"/>
      <c r="N583" s="341"/>
      <c r="O583" s="82"/>
      <c r="P583" s="93"/>
      <c r="Q583" s="82"/>
      <c r="R583" s="93"/>
      <c r="S583" s="298"/>
      <c r="T583" s="304"/>
      <c r="U583" s="307"/>
      <c r="V583" s="309"/>
      <c r="W583" s="248"/>
      <c r="X583" s="342"/>
      <c r="Y583" s="336"/>
      <c r="Z583" s="123"/>
      <c r="AA583" s="33"/>
      <c r="AB583" s="123"/>
      <c r="AC583" s="33"/>
      <c r="AD583" s="123"/>
      <c r="AE583" s="33"/>
      <c r="AF583" s="123"/>
      <c r="AG583" s="243"/>
      <c r="AH583" s="33"/>
      <c r="AI583" s="245"/>
      <c r="AJ583" s="125"/>
      <c r="AK583" s="91"/>
      <c r="AL583" s="126"/>
      <c r="AM583" s="91"/>
      <c r="AN583" s="91"/>
      <c r="AO583" s="197">
        <f t="shared" si="35"/>
        <v>0</v>
      </c>
      <c r="AP583" s="126"/>
      <c r="AQ583" s="216"/>
      <c r="AR583" s="127"/>
      <c r="AS583" s="269"/>
      <c r="AT583" s="94"/>
      <c r="AU583" s="84"/>
      <c r="AV583" s="80"/>
      <c r="AW583" s="81"/>
      <c r="AX583" s="77"/>
      <c r="AY583" s="107"/>
      <c r="AZ583" s="220">
        <f t="shared" si="32"/>
        <v>0</v>
      </c>
      <c r="BA583" s="220">
        <f t="shared" si="33"/>
        <v>0</v>
      </c>
    </row>
    <row r="584" spans="1:53" ht="50.1" customHeight="1" x14ac:dyDescent="0.25">
      <c r="A584" s="17">
        <f t="shared" si="34"/>
        <v>570</v>
      </c>
      <c r="B584" s="229"/>
      <c r="C584" s="222"/>
      <c r="D584" s="112"/>
      <c r="E584" s="128"/>
      <c r="F584" s="129"/>
      <c r="G584" s="130"/>
      <c r="H584" s="131"/>
      <c r="I584" s="132"/>
      <c r="J584" s="108"/>
      <c r="K584" s="133"/>
      <c r="L584" s="134"/>
      <c r="M584" s="334"/>
      <c r="N584" s="343"/>
      <c r="O584" s="135"/>
      <c r="P584" s="82"/>
      <c r="Q584" s="135"/>
      <c r="R584" s="82"/>
      <c r="S584" s="299"/>
      <c r="T584" s="305"/>
      <c r="U584" s="298"/>
      <c r="V584" s="304"/>
      <c r="W584" s="249"/>
      <c r="X584" s="344"/>
      <c r="Y584" s="337"/>
      <c r="Z584" s="33"/>
      <c r="AA584" s="83"/>
      <c r="AB584" s="33"/>
      <c r="AC584" s="83"/>
      <c r="AD584" s="33"/>
      <c r="AE584" s="83"/>
      <c r="AF584" s="33"/>
      <c r="AG584" s="244"/>
      <c r="AH584" s="83"/>
      <c r="AI584" s="246"/>
      <c r="AJ584" s="102"/>
      <c r="AK584" s="92"/>
      <c r="AL584" s="91"/>
      <c r="AM584" s="92"/>
      <c r="AN584" s="351"/>
      <c r="AO584" s="197">
        <f t="shared" si="35"/>
        <v>0</v>
      </c>
      <c r="AP584" s="91"/>
      <c r="AQ584" s="217"/>
      <c r="AR584" s="103"/>
      <c r="AS584" s="264"/>
      <c r="AT584" s="94"/>
      <c r="AU584" s="84"/>
      <c r="AV584" s="136"/>
      <c r="AW584" s="77"/>
      <c r="AX584" s="137"/>
      <c r="AY584" s="138"/>
      <c r="AZ584" s="220">
        <f t="shared" si="32"/>
        <v>0</v>
      </c>
      <c r="BA584" s="220">
        <f t="shared" si="33"/>
        <v>0</v>
      </c>
    </row>
    <row r="585" spans="1:53" ht="50.1" customHeight="1" x14ac:dyDescent="0.25">
      <c r="A585" s="17">
        <f t="shared" si="34"/>
        <v>571</v>
      </c>
      <c r="B585" s="228"/>
      <c r="C585" s="221"/>
      <c r="D585" s="88"/>
      <c r="E585" s="100"/>
      <c r="F585" s="95"/>
      <c r="G585" s="114"/>
      <c r="H585" s="96"/>
      <c r="I585" s="97"/>
      <c r="J585" s="98"/>
      <c r="K585" s="101"/>
      <c r="L585" s="124"/>
      <c r="M585" s="333"/>
      <c r="N585" s="341"/>
      <c r="O585" s="82"/>
      <c r="P585" s="93"/>
      <c r="Q585" s="82"/>
      <c r="R585" s="93"/>
      <c r="S585" s="298"/>
      <c r="T585" s="304"/>
      <c r="U585" s="307"/>
      <c r="V585" s="309"/>
      <c r="W585" s="248"/>
      <c r="X585" s="342"/>
      <c r="Y585" s="336"/>
      <c r="Z585" s="123"/>
      <c r="AA585" s="33"/>
      <c r="AB585" s="123"/>
      <c r="AC585" s="33"/>
      <c r="AD585" s="123"/>
      <c r="AE585" s="33"/>
      <c r="AF585" s="123"/>
      <c r="AG585" s="243"/>
      <c r="AH585" s="33"/>
      <c r="AI585" s="245"/>
      <c r="AJ585" s="125"/>
      <c r="AK585" s="91"/>
      <c r="AL585" s="126"/>
      <c r="AM585" s="91"/>
      <c r="AN585" s="91"/>
      <c r="AO585" s="197">
        <f t="shared" si="35"/>
        <v>0</v>
      </c>
      <c r="AP585" s="126"/>
      <c r="AQ585" s="216"/>
      <c r="AR585" s="127"/>
      <c r="AS585" s="269"/>
      <c r="AT585" s="94"/>
      <c r="AU585" s="84"/>
      <c r="AV585" s="80"/>
      <c r="AW585" s="81"/>
      <c r="AX585" s="77"/>
      <c r="AY585" s="107"/>
      <c r="AZ585" s="220">
        <f t="shared" si="32"/>
        <v>0</v>
      </c>
      <c r="BA585" s="220">
        <f t="shared" si="33"/>
        <v>0</v>
      </c>
    </row>
    <row r="586" spans="1:53" ht="50.1" customHeight="1" x14ac:dyDescent="0.25">
      <c r="A586" s="17">
        <f t="shared" si="34"/>
        <v>572</v>
      </c>
      <c r="B586" s="229"/>
      <c r="C586" s="222"/>
      <c r="D586" s="112"/>
      <c r="E586" s="128"/>
      <c r="F586" s="129"/>
      <c r="G586" s="130"/>
      <c r="H586" s="131"/>
      <c r="I586" s="132"/>
      <c r="J586" s="108"/>
      <c r="K586" s="133"/>
      <c r="L586" s="134"/>
      <c r="M586" s="334"/>
      <c r="N586" s="343"/>
      <c r="O586" s="135"/>
      <c r="P586" s="82"/>
      <c r="Q586" s="135"/>
      <c r="R586" s="82"/>
      <c r="S586" s="299"/>
      <c r="T586" s="305"/>
      <c r="U586" s="298"/>
      <c r="V586" s="304"/>
      <c r="W586" s="249"/>
      <c r="X586" s="344"/>
      <c r="Y586" s="337"/>
      <c r="Z586" s="33"/>
      <c r="AA586" s="83"/>
      <c r="AB586" s="33"/>
      <c r="AC586" s="83"/>
      <c r="AD586" s="33"/>
      <c r="AE586" s="83"/>
      <c r="AF586" s="33"/>
      <c r="AG586" s="244"/>
      <c r="AH586" s="83"/>
      <c r="AI586" s="246"/>
      <c r="AJ586" s="102"/>
      <c r="AK586" s="92"/>
      <c r="AL586" s="91"/>
      <c r="AM586" s="92"/>
      <c r="AN586" s="351"/>
      <c r="AO586" s="197">
        <f t="shared" si="35"/>
        <v>0</v>
      </c>
      <c r="AP586" s="91"/>
      <c r="AQ586" s="217"/>
      <c r="AR586" s="103"/>
      <c r="AS586" s="264"/>
      <c r="AT586" s="94"/>
      <c r="AU586" s="84"/>
      <c r="AV586" s="136"/>
      <c r="AW586" s="77"/>
      <c r="AX586" s="137"/>
      <c r="AY586" s="138"/>
      <c r="AZ586" s="220">
        <f t="shared" si="32"/>
        <v>0</v>
      </c>
      <c r="BA586" s="220">
        <f t="shared" si="33"/>
        <v>0</v>
      </c>
    </row>
    <row r="587" spans="1:53" ht="50.1" customHeight="1" x14ac:dyDescent="0.25">
      <c r="A587" s="17">
        <f t="shared" si="34"/>
        <v>573</v>
      </c>
      <c r="B587" s="228"/>
      <c r="C587" s="221"/>
      <c r="D587" s="88"/>
      <c r="E587" s="100"/>
      <c r="F587" s="95"/>
      <c r="G587" s="114"/>
      <c r="H587" s="96"/>
      <c r="I587" s="97"/>
      <c r="J587" s="98"/>
      <c r="K587" s="101"/>
      <c r="L587" s="124"/>
      <c r="M587" s="333"/>
      <c r="N587" s="341"/>
      <c r="O587" s="82"/>
      <c r="P587" s="93"/>
      <c r="Q587" s="82"/>
      <c r="R587" s="93"/>
      <c r="S587" s="298"/>
      <c r="T587" s="304"/>
      <c r="U587" s="307"/>
      <c r="V587" s="309"/>
      <c r="W587" s="248"/>
      <c r="X587" s="342"/>
      <c r="Y587" s="336"/>
      <c r="Z587" s="123"/>
      <c r="AA587" s="33"/>
      <c r="AB587" s="123"/>
      <c r="AC587" s="33"/>
      <c r="AD587" s="123"/>
      <c r="AE587" s="33"/>
      <c r="AF587" s="123"/>
      <c r="AG587" s="243"/>
      <c r="AH587" s="33"/>
      <c r="AI587" s="245"/>
      <c r="AJ587" s="125"/>
      <c r="AK587" s="91"/>
      <c r="AL587" s="126"/>
      <c r="AM587" s="91"/>
      <c r="AN587" s="91"/>
      <c r="AO587" s="197">
        <f t="shared" si="35"/>
        <v>0</v>
      </c>
      <c r="AP587" s="126"/>
      <c r="AQ587" s="216"/>
      <c r="AR587" s="127"/>
      <c r="AS587" s="269"/>
      <c r="AT587" s="94"/>
      <c r="AU587" s="84"/>
      <c r="AV587" s="80"/>
      <c r="AW587" s="81"/>
      <c r="AX587" s="77"/>
      <c r="AY587" s="107"/>
      <c r="AZ587" s="220">
        <f t="shared" si="32"/>
        <v>0</v>
      </c>
      <c r="BA587" s="220">
        <f t="shared" si="33"/>
        <v>0</v>
      </c>
    </row>
    <row r="588" spans="1:53" ht="50.1" customHeight="1" x14ac:dyDescent="0.25">
      <c r="A588" s="17">
        <f t="shared" si="34"/>
        <v>574</v>
      </c>
      <c r="B588" s="229"/>
      <c r="C588" s="222"/>
      <c r="D588" s="112"/>
      <c r="E588" s="128"/>
      <c r="F588" s="129"/>
      <c r="G588" s="130"/>
      <c r="H588" s="131"/>
      <c r="I588" s="132"/>
      <c r="J588" s="108"/>
      <c r="K588" s="133"/>
      <c r="L588" s="134"/>
      <c r="M588" s="334"/>
      <c r="N588" s="343"/>
      <c r="O588" s="135"/>
      <c r="P588" s="82"/>
      <c r="Q588" s="135"/>
      <c r="R588" s="82"/>
      <c r="S588" s="299"/>
      <c r="T588" s="305"/>
      <c r="U588" s="298"/>
      <c r="V588" s="304"/>
      <c r="W588" s="249"/>
      <c r="X588" s="344"/>
      <c r="Y588" s="337"/>
      <c r="Z588" s="33"/>
      <c r="AA588" s="83"/>
      <c r="AB588" s="33"/>
      <c r="AC588" s="83"/>
      <c r="AD588" s="33"/>
      <c r="AE588" s="83"/>
      <c r="AF588" s="33"/>
      <c r="AG588" s="244"/>
      <c r="AH588" s="83"/>
      <c r="AI588" s="246"/>
      <c r="AJ588" s="102"/>
      <c r="AK588" s="92"/>
      <c r="AL588" s="91"/>
      <c r="AM588" s="92"/>
      <c r="AN588" s="351"/>
      <c r="AO588" s="197">
        <f t="shared" si="35"/>
        <v>0</v>
      </c>
      <c r="AP588" s="91"/>
      <c r="AQ588" s="217"/>
      <c r="AR588" s="103"/>
      <c r="AS588" s="264"/>
      <c r="AT588" s="94"/>
      <c r="AU588" s="84"/>
      <c r="AV588" s="136"/>
      <c r="AW588" s="77"/>
      <c r="AX588" s="137"/>
      <c r="AY588" s="138"/>
      <c r="AZ588" s="220">
        <f t="shared" si="32"/>
        <v>0</v>
      </c>
      <c r="BA588" s="220">
        <f t="shared" si="33"/>
        <v>0</v>
      </c>
    </row>
    <row r="589" spans="1:53" ht="50.1" customHeight="1" x14ac:dyDescent="0.25">
      <c r="A589" s="17">
        <f t="shared" si="34"/>
        <v>575</v>
      </c>
      <c r="B589" s="228"/>
      <c r="C589" s="221"/>
      <c r="D589" s="88"/>
      <c r="E589" s="100"/>
      <c r="F589" s="95"/>
      <c r="G589" s="114"/>
      <c r="H589" s="96"/>
      <c r="I589" s="97"/>
      <c r="J589" s="98"/>
      <c r="K589" s="101"/>
      <c r="L589" s="124"/>
      <c r="M589" s="333"/>
      <c r="N589" s="341"/>
      <c r="O589" s="82"/>
      <c r="P589" s="93"/>
      <c r="Q589" s="82"/>
      <c r="R589" s="93"/>
      <c r="S589" s="298"/>
      <c r="T589" s="304"/>
      <c r="U589" s="307"/>
      <c r="V589" s="309"/>
      <c r="W589" s="248"/>
      <c r="X589" s="342"/>
      <c r="Y589" s="336"/>
      <c r="Z589" s="123"/>
      <c r="AA589" s="33"/>
      <c r="AB589" s="123"/>
      <c r="AC589" s="33"/>
      <c r="AD589" s="123"/>
      <c r="AE589" s="33"/>
      <c r="AF589" s="123"/>
      <c r="AG589" s="243"/>
      <c r="AH589" s="33"/>
      <c r="AI589" s="245"/>
      <c r="AJ589" s="125"/>
      <c r="AK589" s="91"/>
      <c r="AL589" s="126"/>
      <c r="AM589" s="91"/>
      <c r="AN589" s="91"/>
      <c r="AO589" s="197">
        <f t="shared" si="35"/>
        <v>0</v>
      </c>
      <c r="AP589" s="126"/>
      <c r="AQ589" s="216"/>
      <c r="AR589" s="127"/>
      <c r="AS589" s="269"/>
      <c r="AT589" s="94"/>
      <c r="AU589" s="84"/>
      <c r="AV589" s="80"/>
      <c r="AW589" s="81"/>
      <c r="AX589" s="77"/>
      <c r="AY589" s="107"/>
      <c r="AZ589" s="220">
        <f t="shared" si="32"/>
        <v>0</v>
      </c>
      <c r="BA589" s="220">
        <f t="shared" si="33"/>
        <v>0</v>
      </c>
    </row>
    <row r="590" spans="1:53" ht="50.1" customHeight="1" x14ac:dyDescent="0.25">
      <c r="A590" s="17">
        <f t="shared" si="34"/>
        <v>576</v>
      </c>
      <c r="B590" s="229"/>
      <c r="C590" s="222"/>
      <c r="D590" s="112"/>
      <c r="E590" s="128"/>
      <c r="F590" s="129"/>
      <c r="G590" s="130"/>
      <c r="H590" s="131"/>
      <c r="I590" s="132"/>
      <c r="J590" s="108"/>
      <c r="K590" s="133"/>
      <c r="L590" s="134"/>
      <c r="M590" s="334"/>
      <c r="N590" s="343"/>
      <c r="O590" s="135"/>
      <c r="P590" s="82"/>
      <c r="Q590" s="135"/>
      <c r="R590" s="82"/>
      <c r="S590" s="299"/>
      <c r="T590" s="305"/>
      <c r="U590" s="298"/>
      <c r="V590" s="304"/>
      <c r="W590" s="249"/>
      <c r="X590" s="344"/>
      <c r="Y590" s="337"/>
      <c r="Z590" s="33"/>
      <c r="AA590" s="83"/>
      <c r="AB590" s="33"/>
      <c r="AC590" s="83"/>
      <c r="AD590" s="33"/>
      <c r="AE590" s="83"/>
      <c r="AF590" s="33"/>
      <c r="AG590" s="244"/>
      <c r="AH590" s="83"/>
      <c r="AI590" s="246"/>
      <c r="AJ590" s="102"/>
      <c r="AK590" s="92"/>
      <c r="AL590" s="91"/>
      <c r="AM590" s="92"/>
      <c r="AN590" s="351"/>
      <c r="AO590" s="197">
        <f t="shared" si="35"/>
        <v>0</v>
      </c>
      <c r="AP590" s="91"/>
      <c r="AQ590" s="217"/>
      <c r="AR590" s="103"/>
      <c r="AS590" s="264"/>
      <c r="AT590" s="94"/>
      <c r="AU590" s="84"/>
      <c r="AV590" s="136"/>
      <c r="AW590" s="77"/>
      <c r="AX590" s="137"/>
      <c r="AY590" s="138"/>
      <c r="AZ590" s="220">
        <f t="shared" si="32"/>
        <v>0</v>
      </c>
      <c r="BA590" s="220">
        <f t="shared" si="33"/>
        <v>0</v>
      </c>
    </row>
    <row r="591" spans="1:53" ht="50.1" customHeight="1" x14ac:dyDescent="0.25">
      <c r="A591" s="17">
        <f t="shared" si="34"/>
        <v>577</v>
      </c>
      <c r="B591" s="228"/>
      <c r="C591" s="221"/>
      <c r="D591" s="88"/>
      <c r="E591" s="100"/>
      <c r="F591" s="95"/>
      <c r="G591" s="114"/>
      <c r="H591" s="96"/>
      <c r="I591" s="97"/>
      <c r="J591" s="98"/>
      <c r="K591" s="101"/>
      <c r="L591" s="124"/>
      <c r="M591" s="333"/>
      <c r="N591" s="341"/>
      <c r="O591" s="82"/>
      <c r="P591" s="93"/>
      <c r="Q591" s="82"/>
      <c r="R591" s="93"/>
      <c r="S591" s="298"/>
      <c r="T591" s="304"/>
      <c r="U591" s="307"/>
      <c r="V591" s="309"/>
      <c r="W591" s="248"/>
      <c r="X591" s="342"/>
      <c r="Y591" s="336"/>
      <c r="Z591" s="123"/>
      <c r="AA591" s="33"/>
      <c r="AB591" s="123"/>
      <c r="AC591" s="33"/>
      <c r="AD591" s="123"/>
      <c r="AE591" s="33"/>
      <c r="AF591" s="123"/>
      <c r="AG591" s="243"/>
      <c r="AH591" s="33"/>
      <c r="AI591" s="245"/>
      <c r="AJ591" s="125"/>
      <c r="AK591" s="91"/>
      <c r="AL591" s="126"/>
      <c r="AM591" s="91"/>
      <c r="AN591" s="91"/>
      <c r="AO591" s="197">
        <f t="shared" si="35"/>
        <v>0</v>
      </c>
      <c r="AP591" s="126"/>
      <c r="AQ591" s="216"/>
      <c r="AR591" s="127"/>
      <c r="AS591" s="269"/>
      <c r="AT591" s="94"/>
      <c r="AU591" s="84"/>
      <c r="AV591" s="80"/>
      <c r="AW591" s="81"/>
      <c r="AX591" s="77"/>
      <c r="AY591" s="107"/>
      <c r="AZ591" s="220">
        <f t="shared" ref="AZ591:AZ654" si="36">M591-B591</f>
        <v>0</v>
      </c>
      <c r="BA591" s="220">
        <f t="shared" ref="BA591:BA654" si="37">AU591-M591</f>
        <v>0</v>
      </c>
    </row>
    <row r="592" spans="1:53" ht="50.1" customHeight="1" x14ac:dyDescent="0.25">
      <c r="A592" s="17">
        <f t="shared" ref="A592:A655" si="38">ROW(A578)</f>
        <v>578</v>
      </c>
      <c r="B592" s="229"/>
      <c r="C592" s="222"/>
      <c r="D592" s="112"/>
      <c r="E592" s="128"/>
      <c r="F592" s="129"/>
      <c r="G592" s="130"/>
      <c r="H592" s="131"/>
      <c r="I592" s="132"/>
      <c r="J592" s="108"/>
      <c r="K592" s="133"/>
      <c r="L592" s="134"/>
      <c r="M592" s="334"/>
      <c r="N592" s="343"/>
      <c r="O592" s="135"/>
      <c r="P592" s="82"/>
      <c r="Q592" s="135"/>
      <c r="R592" s="82"/>
      <c r="S592" s="299"/>
      <c r="T592" s="305"/>
      <c r="U592" s="298"/>
      <c r="V592" s="304"/>
      <c r="W592" s="249"/>
      <c r="X592" s="344"/>
      <c r="Y592" s="337"/>
      <c r="Z592" s="33"/>
      <c r="AA592" s="83"/>
      <c r="AB592" s="33"/>
      <c r="AC592" s="83"/>
      <c r="AD592" s="33"/>
      <c r="AE592" s="83"/>
      <c r="AF592" s="33"/>
      <c r="AG592" s="244"/>
      <c r="AH592" s="83"/>
      <c r="AI592" s="246"/>
      <c r="AJ592" s="102"/>
      <c r="AK592" s="92"/>
      <c r="AL592" s="91"/>
      <c r="AM592" s="92"/>
      <c r="AN592" s="351"/>
      <c r="AO592" s="197">
        <f t="shared" ref="AO592:AO655" si="39">AJ592-AK592-AL592-AM592-AN592</f>
        <v>0</v>
      </c>
      <c r="AP592" s="91"/>
      <c r="AQ592" s="217"/>
      <c r="AR592" s="103"/>
      <c r="AS592" s="264"/>
      <c r="AT592" s="94"/>
      <c r="AU592" s="84"/>
      <c r="AV592" s="136"/>
      <c r="AW592" s="77"/>
      <c r="AX592" s="137"/>
      <c r="AY592" s="138"/>
      <c r="AZ592" s="220">
        <f t="shared" si="36"/>
        <v>0</v>
      </c>
      <c r="BA592" s="220">
        <f t="shared" si="37"/>
        <v>0</v>
      </c>
    </row>
    <row r="593" spans="1:53" ht="50.1" customHeight="1" x14ac:dyDescent="0.25">
      <c r="A593" s="17">
        <f t="shared" si="38"/>
        <v>579</v>
      </c>
      <c r="B593" s="228"/>
      <c r="C593" s="221"/>
      <c r="D593" s="88"/>
      <c r="E593" s="100"/>
      <c r="F593" s="95"/>
      <c r="G593" s="114"/>
      <c r="H593" s="96"/>
      <c r="I593" s="97"/>
      <c r="J593" s="98"/>
      <c r="K593" s="101"/>
      <c r="L593" s="124"/>
      <c r="M593" s="333"/>
      <c r="N593" s="341"/>
      <c r="O593" s="82"/>
      <c r="P593" s="93"/>
      <c r="Q593" s="82"/>
      <c r="R593" s="93"/>
      <c r="S593" s="298"/>
      <c r="T593" s="304"/>
      <c r="U593" s="307"/>
      <c r="V593" s="309"/>
      <c r="W593" s="248"/>
      <c r="X593" s="342"/>
      <c r="Y593" s="336"/>
      <c r="Z593" s="123"/>
      <c r="AA593" s="33"/>
      <c r="AB593" s="123"/>
      <c r="AC593" s="33"/>
      <c r="AD593" s="123"/>
      <c r="AE593" s="33"/>
      <c r="AF593" s="123"/>
      <c r="AG593" s="243"/>
      <c r="AH593" s="33"/>
      <c r="AI593" s="245"/>
      <c r="AJ593" s="125"/>
      <c r="AK593" s="91"/>
      <c r="AL593" s="126"/>
      <c r="AM593" s="91"/>
      <c r="AN593" s="91"/>
      <c r="AO593" s="197">
        <f t="shared" si="39"/>
        <v>0</v>
      </c>
      <c r="AP593" s="126"/>
      <c r="AQ593" s="216"/>
      <c r="AR593" s="127"/>
      <c r="AS593" s="269"/>
      <c r="AT593" s="94"/>
      <c r="AU593" s="84"/>
      <c r="AV593" s="80"/>
      <c r="AW593" s="81"/>
      <c r="AX593" s="77"/>
      <c r="AY593" s="107"/>
      <c r="AZ593" s="220">
        <f t="shared" si="36"/>
        <v>0</v>
      </c>
      <c r="BA593" s="220">
        <f t="shared" si="37"/>
        <v>0</v>
      </c>
    </row>
    <row r="594" spans="1:53" ht="50.1" customHeight="1" x14ac:dyDescent="0.25">
      <c r="A594" s="17">
        <f t="shared" si="38"/>
        <v>580</v>
      </c>
      <c r="B594" s="229"/>
      <c r="C594" s="222"/>
      <c r="D594" s="112"/>
      <c r="E594" s="128"/>
      <c r="F594" s="129"/>
      <c r="G594" s="130"/>
      <c r="H594" s="131"/>
      <c r="I594" s="132"/>
      <c r="J594" s="108"/>
      <c r="K594" s="133"/>
      <c r="L594" s="134"/>
      <c r="M594" s="334"/>
      <c r="N594" s="343"/>
      <c r="O594" s="135"/>
      <c r="P594" s="82"/>
      <c r="Q594" s="135"/>
      <c r="R594" s="82"/>
      <c r="S594" s="299"/>
      <c r="T594" s="305"/>
      <c r="U594" s="298"/>
      <c r="V594" s="304"/>
      <c r="W594" s="249"/>
      <c r="X594" s="344"/>
      <c r="Y594" s="337"/>
      <c r="Z594" s="33"/>
      <c r="AA594" s="83"/>
      <c r="AB594" s="33"/>
      <c r="AC594" s="83"/>
      <c r="AD594" s="33"/>
      <c r="AE594" s="83"/>
      <c r="AF594" s="33"/>
      <c r="AG594" s="244"/>
      <c r="AH594" s="83"/>
      <c r="AI594" s="246"/>
      <c r="AJ594" s="102"/>
      <c r="AK594" s="92"/>
      <c r="AL594" s="91"/>
      <c r="AM594" s="92"/>
      <c r="AN594" s="351"/>
      <c r="AO594" s="197">
        <f t="shared" si="39"/>
        <v>0</v>
      </c>
      <c r="AP594" s="91"/>
      <c r="AQ594" s="217"/>
      <c r="AR594" s="103"/>
      <c r="AS594" s="264"/>
      <c r="AT594" s="94"/>
      <c r="AU594" s="84"/>
      <c r="AV594" s="136"/>
      <c r="AW594" s="77"/>
      <c r="AX594" s="137"/>
      <c r="AY594" s="138"/>
      <c r="AZ594" s="220">
        <f t="shared" si="36"/>
        <v>0</v>
      </c>
      <c r="BA594" s="220">
        <f t="shared" si="37"/>
        <v>0</v>
      </c>
    </row>
    <row r="595" spans="1:53" ht="50.1" customHeight="1" x14ac:dyDescent="0.25">
      <c r="A595" s="17">
        <f t="shared" si="38"/>
        <v>581</v>
      </c>
      <c r="B595" s="228"/>
      <c r="C595" s="221"/>
      <c r="D595" s="88"/>
      <c r="E595" s="100"/>
      <c r="F595" s="95"/>
      <c r="G595" s="114"/>
      <c r="H595" s="96"/>
      <c r="I595" s="97"/>
      <c r="J595" s="98"/>
      <c r="K595" s="101"/>
      <c r="L595" s="124"/>
      <c r="M595" s="333"/>
      <c r="N595" s="341"/>
      <c r="O595" s="82"/>
      <c r="P595" s="93"/>
      <c r="Q595" s="82"/>
      <c r="R595" s="93"/>
      <c r="S595" s="298"/>
      <c r="T595" s="304"/>
      <c r="U595" s="307"/>
      <c r="V595" s="309"/>
      <c r="W595" s="248"/>
      <c r="X595" s="342"/>
      <c r="Y595" s="336"/>
      <c r="Z595" s="123"/>
      <c r="AA595" s="33"/>
      <c r="AB595" s="123"/>
      <c r="AC595" s="33"/>
      <c r="AD595" s="123"/>
      <c r="AE595" s="33"/>
      <c r="AF595" s="123"/>
      <c r="AG595" s="243"/>
      <c r="AH595" s="33"/>
      <c r="AI595" s="245"/>
      <c r="AJ595" s="125"/>
      <c r="AK595" s="91"/>
      <c r="AL595" s="126"/>
      <c r="AM595" s="91"/>
      <c r="AN595" s="91"/>
      <c r="AO595" s="197">
        <f t="shared" si="39"/>
        <v>0</v>
      </c>
      <c r="AP595" s="126"/>
      <c r="AQ595" s="216"/>
      <c r="AR595" s="127"/>
      <c r="AS595" s="269"/>
      <c r="AT595" s="94"/>
      <c r="AU595" s="84"/>
      <c r="AV595" s="80"/>
      <c r="AW595" s="81"/>
      <c r="AX595" s="77"/>
      <c r="AY595" s="107"/>
      <c r="AZ595" s="220">
        <f t="shared" si="36"/>
        <v>0</v>
      </c>
      <c r="BA595" s="220">
        <f t="shared" si="37"/>
        <v>0</v>
      </c>
    </row>
    <row r="596" spans="1:53" ht="50.1" customHeight="1" x14ac:dyDescent="0.25">
      <c r="A596" s="17">
        <f t="shared" si="38"/>
        <v>582</v>
      </c>
      <c r="B596" s="229"/>
      <c r="C596" s="222"/>
      <c r="D596" s="112"/>
      <c r="E596" s="128"/>
      <c r="F596" s="129"/>
      <c r="G596" s="130"/>
      <c r="H596" s="131"/>
      <c r="I596" s="132"/>
      <c r="J596" s="108"/>
      <c r="K596" s="133"/>
      <c r="L596" s="134"/>
      <c r="M596" s="334"/>
      <c r="N596" s="343"/>
      <c r="O596" s="135"/>
      <c r="P596" s="82"/>
      <c r="Q596" s="135"/>
      <c r="R596" s="82"/>
      <c r="S596" s="299"/>
      <c r="T596" s="305"/>
      <c r="U596" s="298"/>
      <c r="V596" s="304"/>
      <c r="W596" s="249"/>
      <c r="X596" s="344"/>
      <c r="Y596" s="337"/>
      <c r="Z596" s="33"/>
      <c r="AA596" s="83"/>
      <c r="AB596" s="33"/>
      <c r="AC596" s="83"/>
      <c r="AD596" s="33"/>
      <c r="AE596" s="83"/>
      <c r="AF596" s="33"/>
      <c r="AG596" s="244"/>
      <c r="AH596" s="83"/>
      <c r="AI596" s="246"/>
      <c r="AJ596" s="102"/>
      <c r="AK596" s="92"/>
      <c r="AL596" s="91"/>
      <c r="AM596" s="92"/>
      <c r="AN596" s="351"/>
      <c r="AO596" s="197">
        <f t="shared" si="39"/>
        <v>0</v>
      </c>
      <c r="AP596" s="91"/>
      <c r="AQ596" s="217"/>
      <c r="AR596" s="103"/>
      <c r="AS596" s="264"/>
      <c r="AT596" s="94"/>
      <c r="AU596" s="84"/>
      <c r="AV596" s="136"/>
      <c r="AW596" s="77"/>
      <c r="AX596" s="137"/>
      <c r="AY596" s="138"/>
      <c r="AZ596" s="220">
        <f t="shared" si="36"/>
        <v>0</v>
      </c>
      <c r="BA596" s="220">
        <f t="shared" si="37"/>
        <v>0</v>
      </c>
    </row>
    <row r="597" spans="1:53" ht="50.1" customHeight="1" x14ac:dyDescent="0.25">
      <c r="A597" s="17">
        <f t="shared" si="38"/>
        <v>583</v>
      </c>
      <c r="B597" s="228"/>
      <c r="C597" s="221"/>
      <c r="D597" s="88"/>
      <c r="E597" s="100"/>
      <c r="F597" s="95"/>
      <c r="G597" s="114"/>
      <c r="H597" s="96"/>
      <c r="I597" s="97"/>
      <c r="J597" s="98"/>
      <c r="K597" s="101"/>
      <c r="L597" s="124"/>
      <c r="M597" s="333"/>
      <c r="N597" s="341"/>
      <c r="O597" s="82"/>
      <c r="P597" s="93"/>
      <c r="Q597" s="82"/>
      <c r="R597" s="93"/>
      <c r="S597" s="298"/>
      <c r="T597" s="304"/>
      <c r="U597" s="307"/>
      <c r="V597" s="309"/>
      <c r="W597" s="248"/>
      <c r="X597" s="342"/>
      <c r="Y597" s="336"/>
      <c r="Z597" s="123"/>
      <c r="AA597" s="33"/>
      <c r="AB597" s="123"/>
      <c r="AC597" s="33"/>
      <c r="AD597" s="123"/>
      <c r="AE597" s="33"/>
      <c r="AF597" s="123"/>
      <c r="AG597" s="243"/>
      <c r="AH597" s="33"/>
      <c r="AI597" s="245"/>
      <c r="AJ597" s="125"/>
      <c r="AK597" s="91"/>
      <c r="AL597" s="126"/>
      <c r="AM597" s="91"/>
      <c r="AN597" s="91"/>
      <c r="AO597" s="197">
        <f t="shared" si="39"/>
        <v>0</v>
      </c>
      <c r="AP597" s="126"/>
      <c r="AQ597" s="216"/>
      <c r="AR597" s="127"/>
      <c r="AS597" s="269"/>
      <c r="AT597" s="94"/>
      <c r="AU597" s="84"/>
      <c r="AV597" s="80"/>
      <c r="AW597" s="81"/>
      <c r="AX597" s="77"/>
      <c r="AY597" s="107"/>
      <c r="AZ597" s="220">
        <f t="shared" si="36"/>
        <v>0</v>
      </c>
      <c r="BA597" s="220">
        <f t="shared" si="37"/>
        <v>0</v>
      </c>
    </row>
    <row r="598" spans="1:53" ht="50.1" customHeight="1" x14ac:dyDescent="0.25">
      <c r="A598" s="17">
        <f t="shared" si="38"/>
        <v>584</v>
      </c>
      <c r="B598" s="229"/>
      <c r="C598" s="222"/>
      <c r="D598" s="112"/>
      <c r="E598" s="128"/>
      <c r="F598" s="129"/>
      <c r="G598" s="130"/>
      <c r="H598" s="131"/>
      <c r="I598" s="132"/>
      <c r="J598" s="108"/>
      <c r="K598" s="133"/>
      <c r="L598" s="134"/>
      <c r="M598" s="334"/>
      <c r="N598" s="343"/>
      <c r="O598" s="135"/>
      <c r="P598" s="82"/>
      <c r="Q598" s="135"/>
      <c r="R598" s="82"/>
      <c r="S598" s="299"/>
      <c r="T598" s="305"/>
      <c r="U598" s="298"/>
      <c r="V598" s="304"/>
      <c r="W598" s="249"/>
      <c r="X598" s="344"/>
      <c r="Y598" s="337"/>
      <c r="Z598" s="33"/>
      <c r="AA598" s="83"/>
      <c r="AB598" s="33"/>
      <c r="AC598" s="83"/>
      <c r="AD598" s="33"/>
      <c r="AE598" s="83"/>
      <c r="AF598" s="33"/>
      <c r="AG598" s="244"/>
      <c r="AH598" s="83"/>
      <c r="AI598" s="246"/>
      <c r="AJ598" s="102"/>
      <c r="AK598" s="92"/>
      <c r="AL598" s="91"/>
      <c r="AM598" s="92"/>
      <c r="AN598" s="351"/>
      <c r="AO598" s="197">
        <f t="shared" si="39"/>
        <v>0</v>
      </c>
      <c r="AP598" s="91"/>
      <c r="AQ598" s="217"/>
      <c r="AR598" s="103"/>
      <c r="AS598" s="264"/>
      <c r="AT598" s="94"/>
      <c r="AU598" s="84"/>
      <c r="AV598" s="136"/>
      <c r="AW598" s="77"/>
      <c r="AX598" s="137"/>
      <c r="AY598" s="138"/>
      <c r="AZ598" s="220">
        <f t="shared" si="36"/>
        <v>0</v>
      </c>
      <c r="BA598" s="220">
        <f t="shared" si="37"/>
        <v>0</v>
      </c>
    </row>
    <row r="599" spans="1:53" ht="50.1" customHeight="1" x14ac:dyDescent="0.25">
      <c r="A599" s="17">
        <f t="shared" si="38"/>
        <v>585</v>
      </c>
      <c r="B599" s="228"/>
      <c r="C599" s="221"/>
      <c r="D599" s="88"/>
      <c r="E599" s="100"/>
      <c r="F599" s="95"/>
      <c r="G599" s="114"/>
      <c r="H599" s="96"/>
      <c r="I599" s="97"/>
      <c r="J599" s="98"/>
      <c r="K599" s="101"/>
      <c r="L599" s="124"/>
      <c r="M599" s="333"/>
      <c r="N599" s="341"/>
      <c r="O599" s="82"/>
      <c r="P599" s="93"/>
      <c r="Q599" s="82"/>
      <c r="R599" s="93"/>
      <c r="S599" s="298"/>
      <c r="T599" s="304"/>
      <c r="U599" s="307"/>
      <c r="V599" s="309"/>
      <c r="W599" s="248"/>
      <c r="X599" s="342"/>
      <c r="Y599" s="336"/>
      <c r="Z599" s="123"/>
      <c r="AA599" s="33"/>
      <c r="AB599" s="123"/>
      <c r="AC599" s="33"/>
      <c r="AD599" s="123"/>
      <c r="AE599" s="33"/>
      <c r="AF599" s="123"/>
      <c r="AG599" s="243"/>
      <c r="AH599" s="33"/>
      <c r="AI599" s="245"/>
      <c r="AJ599" s="125"/>
      <c r="AK599" s="91"/>
      <c r="AL599" s="126"/>
      <c r="AM599" s="91"/>
      <c r="AN599" s="91"/>
      <c r="AO599" s="197">
        <f t="shared" si="39"/>
        <v>0</v>
      </c>
      <c r="AP599" s="126"/>
      <c r="AQ599" s="216"/>
      <c r="AR599" s="127"/>
      <c r="AS599" s="269"/>
      <c r="AT599" s="94"/>
      <c r="AU599" s="84"/>
      <c r="AV599" s="80"/>
      <c r="AW599" s="81"/>
      <c r="AX599" s="77"/>
      <c r="AY599" s="107"/>
      <c r="AZ599" s="220">
        <f t="shared" si="36"/>
        <v>0</v>
      </c>
      <c r="BA599" s="220">
        <f t="shared" si="37"/>
        <v>0</v>
      </c>
    </row>
    <row r="600" spans="1:53" ht="50.1" customHeight="1" x14ac:dyDescent="0.25">
      <c r="A600" s="17">
        <f t="shared" si="38"/>
        <v>586</v>
      </c>
      <c r="B600" s="229"/>
      <c r="C600" s="222"/>
      <c r="D600" s="112"/>
      <c r="E600" s="128"/>
      <c r="F600" s="129"/>
      <c r="G600" s="130"/>
      <c r="H600" s="131"/>
      <c r="I600" s="132"/>
      <c r="J600" s="108"/>
      <c r="K600" s="133"/>
      <c r="L600" s="134"/>
      <c r="M600" s="334"/>
      <c r="N600" s="343"/>
      <c r="O600" s="135"/>
      <c r="P600" s="82"/>
      <c r="Q600" s="135"/>
      <c r="R600" s="82"/>
      <c r="S600" s="299"/>
      <c r="T600" s="305"/>
      <c r="U600" s="298"/>
      <c r="V600" s="304"/>
      <c r="W600" s="249"/>
      <c r="X600" s="344"/>
      <c r="Y600" s="337"/>
      <c r="Z600" s="33"/>
      <c r="AA600" s="83"/>
      <c r="AB600" s="33"/>
      <c r="AC600" s="83"/>
      <c r="AD600" s="33"/>
      <c r="AE600" s="83"/>
      <c r="AF600" s="33"/>
      <c r="AG600" s="244"/>
      <c r="AH600" s="83"/>
      <c r="AI600" s="246"/>
      <c r="AJ600" s="102"/>
      <c r="AK600" s="92"/>
      <c r="AL600" s="91"/>
      <c r="AM600" s="92"/>
      <c r="AN600" s="351"/>
      <c r="AO600" s="197">
        <f t="shared" si="39"/>
        <v>0</v>
      </c>
      <c r="AP600" s="91"/>
      <c r="AQ600" s="217"/>
      <c r="AR600" s="103"/>
      <c r="AS600" s="264"/>
      <c r="AT600" s="94"/>
      <c r="AU600" s="84"/>
      <c r="AV600" s="136"/>
      <c r="AW600" s="77"/>
      <c r="AX600" s="137"/>
      <c r="AY600" s="138"/>
      <c r="AZ600" s="220">
        <f t="shared" si="36"/>
        <v>0</v>
      </c>
      <c r="BA600" s="220">
        <f t="shared" si="37"/>
        <v>0</v>
      </c>
    </row>
    <row r="601" spans="1:53" ht="50.1" customHeight="1" x14ac:dyDescent="0.25">
      <c r="A601" s="17">
        <f t="shared" si="38"/>
        <v>587</v>
      </c>
      <c r="B601" s="228"/>
      <c r="C601" s="221"/>
      <c r="D601" s="88"/>
      <c r="E601" s="100"/>
      <c r="F601" s="95"/>
      <c r="G601" s="114"/>
      <c r="H601" s="96"/>
      <c r="I601" s="97"/>
      <c r="J601" s="98"/>
      <c r="K601" s="101"/>
      <c r="L601" s="124"/>
      <c r="M601" s="333"/>
      <c r="N601" s="341"/>
      <c r="O601" s="82"/>
      <c r="P601" s="93"/>
      <c r="Q601" s="82"/>
      <c r="R601" s="93"/>
      <c r="S601" s="298"/>
      <c r="T601" s="304"/>
      <c r="U601" s="307"/>
      <c r="V601" s="309"/>
      <c r="W601" s="248"/>
      <c r="X601" s="342"/>
      <c r="Y601" s="336"/>
      <c r="Z601" s="123"/>
      <c r="AA601" s="33"/>
      <c r="AB601" s="123"/>
      <c r="AC601" s="33"/>
      <c r="AD601" s="123"/>
      <c r="AE601" s="33"/>
      <c r="AF601" s="123"/>
      <c r="AG601" s="243"/>
      <c r="AH601" s="33"/>
      <c r="AI601" s="245"/>
      <c r="AJ601" s="125"/>
      <c r="AK601" s="91"/>
      <c r="AL601" s="126"/>
      <c r="AM601" s="91"/>
      <c r="AN601" s="91"/>
      <c r="AO601" s="197">
        <f t="shared" si="39"/>
        <v>0</v>
      </c>
      <c r="AP601" s="126"/>
      <c r="AQ601" s="216"/>
      <c r="AR601" s="127"/>
      <c r="AS601" s="269"/>
      <c r="AT601" s="94"/>
      <c r="AU601" s="84"/>
      <c r="AV601" s="80"/>
      <c r="AW601" s="81"/>
      <c r="AX601" s="77"/>
      <c r="AY601" s="107"/>
      <c r="AZ601" s="220">
        <f t="shared" si="36"/>
        <v>0</v>
      </c>
      <c r="BA601" s="220">
        <f t="shared" si="37"/>
        <v>0</v>
      </c>
    </row>
    <row r="602" spans="1:53" ht="50.1" customHeight="1" x14ac:dyDescent="0.25">
      <c r="A602" s="17">
        <f t="shared" si="38"/>
        <v>588</v>
      </c>
      <c r="B602" s="229"/>
      <c r="C602" s="222"/>
      <c r="D602" s="112"/>
      <c r="E602" s="128"/>
      <c r="F602" s="129"/>
      <c r="G602" s="130"/>
      <c r="H602" s="131"/>
      <c r="I602" s="132"/>
      <c r="J602" s="108"/>
      <c r="K602" s="133"/>
      <c r="L602" s="134"/>
      <c r="M602" s="334"/>
      <c r="N602" s="343"/>
      <c r="O602" s="135"/>
      <c r="P602" s="82"/>
      <c r="Q602" s="135"/>
      <c r="R602" s="82"/>
      <c r="S602" s="299"/>
      <c r="T602" s="305"/>
      <c r="U602" s="298"/>
      <c r="V602" s="304"/>
      <c r="W602" s="249"/>
      <c r="X602" s="344"/>
      <c r="Y602" s="337"/>
      <c r="Z602" s="33"/>
      <c r="AA602" s="83"/>
      <c r="AB602" s="33"/>
      <c r="AC602" s="83"/>
      <c r="AD602" s="33"/>
      <c r="AE602" s="83"/>
      <c r="AF602" s="33"/>
      <c r="AG602" s="244"/>
      <c r="AH602" s="83"/>
      <c r="AI602" s="246"/>
      <c r="AJ602" s="102"/>
      <c r="AK602" s="92"/>
      <c r="AL602" s="91"/>
      <c r="AM602" s="92"/>
      <c r="AN602" s="351"/>
      <c r="AO602" s="197">
        <f t="shared" si="39"/>
        <v>0</v>
      </c>
      <c r="AP602" s="91"/>
      <c r="AQ602" s="217"/>
      <c r="AR602" s="103"/>
      <c r="AS602" s="264"/>
      <c r="AT602" s="94"/>
      <c r="AU602" s="84"/>
      <c r="AV602" s="136"/>
      <c r="AW602" s="77"/>
      <c r="AX602" s="137"/>
      <c r="AY602" s="138"/>
      <c r="AZ602" s="220">
        <f t="shared" si="36"/>
        <v>0</v>
      </c>
      <c r="BA602" s="220">
        <f t="shared" si="37"/>
        <v>0</v>
      </c>
    </row>
    <row r="603" spans="1:53" ht="50.1" customHeight="1" x14ac:dyDescent="0.25">
      <c r="A603" s="17">
        <f t="shared" si="38"/>
        <v>589</v>
      </c>
      <c r="B603" s="228"/>
      <c r="C603" s="221"/>
      <c r="D603" s="88"/>
      <c r="E603" s="100"/>
      <c r="F603" s="95"/>
      <c r="G603" s="114"/>
      <c r="H603" s="96"/>
      <c r="I603" s="97"/>
      <c r="J603" s="98"/>
      <c r="K603" s="101"/>
      <c r="L603" s="124"/>
      <c r="M603" s="333"/>
      <c r="N603" s="341"/>
      <c r="O603" s="82"/>
      <c r="P603" s="93"/>
      <c r="Q603" s="82"/>
      <c r="R603" s="93"/>
      <c r="S603" s="298"/>
      <c r="T603" s="304"/>
      <c r="U603" s="307"/>
      <c r="V603" s="309"/>
      <c r="W603" s="248"/>
      <c r="X603" s="342"/>
      <c r="Y603" s="336"/>
      <c r="Z603" s="123"/>
      <c r="AA603" s="33"/>
      <c r="AB603" s="123"/>
      <c r="AC603" s="33"/>
      <c r="AD603" s="123"/>
      <c r="AE603" s="33"/>
      <c r="AF603" s="123"/>
      <c r="AG603" s="243"/>
      <c r="AH603" s="33"/>
      <c r="AI603" s="245"/>
      <c r="AJ603" s="125"/>
      <c r="AK603" s="91"/>
      <c r="AL603" s="126"/>
      <c r="AM603" s="91"/>
      <c r="AN603" s="91"/>
      <c r="AO603" s="197">
        <f t="shared" si="39"/>
        <v>0</v>
      </c>
      <c r="AP603" s="126"/>
      <c r="AQ603" s="216"/>
      <c r="AR603" s="127"/>
      <c r="AS603" s="269"/>
      <c r="AT603" s="94"/>
      <c r="AU603" s="84"/>
      <c r="AV603" s="80"/>
      <c r="AW603" s="81"/>
      <c r="AX603" s="77"/>
      <c r="AY603" s="107"/>
      <c r="AZ603" s="220">
        <f t="shared" si="36"/>
        <v>0</v>
      </c>
      <c r="BA603" s="220">
        <f t="shared" si="37"/>
        <v>0</v>
      </c>
    </row>
    <row r="604" spans="1:53" ht="50.1" customHeight="1" x14ac:dyDescent="0.25">
      <c r="A604" s="17">
        <f t="shared" si="38"/>
        <v>590</v>
      </c>
      <c r="B604" s="229"/>
      <c r="C604" s="222"/>
      <c r="D604" s="112"/>
      <c r="E604" s="128"/>
      <c r="F604" s="129"/>
      <c r="G604" s="130"/>
      <c r="H604" s="131"/>
      <c r="I604" s="132"/>
      <c r="J604" s="108"/>
      <c r="K604" s="133"/>
      <c r="L604" s="134"/>
      <c r="M604" s="334"/>
      <c r="N604" s="343"/>
      <c r="O604" s="135"/>
      <c r="P604" s="82"/>
      <c r="Q604" s="135"/>
      <c r="R604" s="82"/>
      <c r="S604" s="299"/>
      <c r="T604" s="305"/>
      <c r="U604" s="298"/>
      <c r="V604" s="304"/>
      <c r="W604" s="249"/>
      <c r="X604" s="344"/>
      <c r="Y604" s="337"/>
      <c r="Z604" s="33"/>
      <c r="AA604" s="83"/>
      <c r="AB604" s="33"/>
      <c r="AC604" s="83"/>
      <c r="AD604" s="33"/>
      <c r="AE604" s="83"/>
      <c r="AF604" s="33"/>
      <c r="AG604" s="244"/>
      <c r="AH604" s="83"/>
      <c r="AI604" s="246"/>
      <c r="AJ604" s="102"/>
      <c r="AK604" s="92"/>
      <c r="AL604" s="91"/>
      <c r="AM604" s="92"/>
      <c r="AN604" s="351"/>
      <c r="AO604" s="197">
        <f t="shared" si="39"/>
        <v>0</v>
      </c>
      <c r="AP604" s="91"/>
      <c r="AQ604" s="217"/>
      <c r="AR604" s="103"/>
      <c r="AS604" s="264"/>
      <c r="AT604" s="94"/>
      <c r="AU604" s="84"/>
      <c r="AV604" s="136"/>
      <c r="AW604" s="77"/>
      <c r="AX604" s="137"/>
      <c r="AY604" s="138"/>
      <c r="AZ604" s="220">
        <f t="shared" si="36"/>
        <v>0</v>
      </c>
      <c r="BA604" s="220">
        <f t="shared" si="37"/>
        <v>0</v>
      </c>
    </row>
    <row r="605" spans="1:53" ht="50.1" customHeight="1" x14ac:dyDescent="0.25">
      <c r="A605" s="17">
        <f t="shared" si="38"/>
        <v>591</v>
      </c>
      <c r="B605" s="228"/>
      <c r="C605" s="221"/>
      <c r="D605" s="88"/>
      <c r="E605" s="100"/>
      <c r="F605" s="95"/>
      <c r="G605" s="114"/>
      <c r="H605" s="96"/>
      <c r="I605" s="97"/>
      <c r="J605" s="98"/>
      <c r="K605" s="101"/>
      <c r="L605" s="124"/>
      <c r="M605" s="333"/>
      <c r="N605" s="346"/>
      <c r="O605" s="82"/>
      <c r="P605" s="93"/>
      <c r="Q605" s="82"/>
      <c r="R605" s="93"/>
      <c r="S605" s="298"/>
      <c r="T605" s="304"/>
      <c r="U605" s="307"/>
      <c r="V605" s="309"/>
      <c r="W605" s="248"/>
      <c r="X605" s="342"/>
      <c r="Y605" s="336"/>
      <c r="Z605" s="123"/>
      <c r="AA605" s="33"/>
      <c r="AB605" s="123"/>
      <c r="AC605" s="33"/>
      <c r="AD605" s="123"/>
      <c r="AE605" s="33"/>
      <c r="AF605" s="123"/>
      <c r="AG605" s="243"/>
      <c r="AH605" s="33"/>
      <c r="AI605" s="245"/>
      <c r="AJ605" s="125"/>
      <c r="AK605" s="91"/>
      <c r="AL605" s="126"/>
      <c r="AM605" s="91"/>
      <c r="AN605" s="91"/>
      <c r="AO605" s="197">
        <f t="shared" si="39"/>
        <v>0</v>
      </c>
      <c r="AP605" s="126"/>
      <c r="AQ605" s="216"/>
      <c r="AR605" s="127"/>
      <c r="AS605" s="269"/>
      <c r="AT605" s="94"/>
      <c r="AU605" s="84"/>
      <c r="AV605" s="80"/>
      <c r="AW605" s="81"/>
      <c r="AX605" s="77"/>
      <c r="AY605" s="107"/>
      <c r="AZ605" s="220">
        <f t="shared" si="36"/>
        <v>0</v>
      </c>
      <c r="BA605" s="220">
        <f t="shared" si="37"/>
        <v>0</v>
      </c>
    </row>
    <row r="606" spans="1:53" ht="50.1" customHeight="1" x14ac:dyDescent="0.25">
      <c r="A606" s="17">
        <f t="shared" si="38"/>
        <v>592</v>
      </c>
      <c r="B606" s="229"/>
      <c r="C606" s="222"/>
      <c r="D606" s="112"/>
      <c r="E606" s="128"/>
      <c r="F606" s="129"/>
      <c r="G606" s="130"/>
      <c r="H606" s="131"/>
      <c r="I606" s="132"/>
      <c r="J606" s="108"/>
      <c r="K606" s="133"/>
      <c r="L606" s="134"/>
      <c r="M606" s="334"/>
      <c r="N606" s="343"/>
      <c r="O606" s="135"/>
      <c r="P606" s="82"/>
      <c r="Q606" s="135"/>
      <c r="R606" s="82"/>
      <c r="S606" s="299"/>
      <c r="T606" s="305"/>
      <c r="U606" s="298"/>
      <c r="V606" s="304"/>
      <c r="W606" s="249"/>
      <c r="X606" s="344"/>
      <c r="Y606" s="337"/>
      <c r="Z606" s="33"/>
      <c r="AA606" s="83"/>
      <c r="AB606" s="33"/>
      <c r="AC606" s="83"/>
      <c r="AD606" s="33"/>
      <c r="AE606" s="83"/>
      <c r="AF606" s="33"/>
      <c r="AG606" s="244"/>
      <c r="AH606" s="83"/>
      <c r="AI606" s="246"/>
      <c r="AJ606" s="102"/>
      <c r="AK606" s="92"/>
      <c r="AL606" s="91"/>
      <c r="AM606" s="92"/>
      <c r="AN606" s="351"/>
      <c r="AO606" s="197">
        <f t="shared" si="39"/>
        <v>0</v>
      </c>
      <c r="AP606" s="91"/>
      <c r="AQ606" s="217"/>
      <c r="AR606" s="103"/>
      <c r="AS606" s="264"/>
      <c r="AT606" s="94"/>
      <c r="AU606" s="84"/>
      <c r="AV606" s="136"/>
      <c r="AW606" s="77"/>
      <c r="AX606" s="137"/>
      <c r="AY606" s="138"/>
      <c r="AZ606" s="220">
        <f t="shared" si="36"/>
        <v>0</v>
      </c>
      <c r="BA606" s="220">
        <f t="shared" si="37"/>
        <v>0</v>
      </c>
    </row>
    <row r="607" spans="1:53" ht="50.1" customHeight="1" x14ac:dyDescent="0.25">
      <c r="A607" s="17">
        <f t="shared" si="38"/>
        <v>593</v>
      </c>
      <c r="B607" s="228"/>
      <c r="C607" s="221"/>
      <c r="D607" s="88"/>
      <c r="E607" s="100"/>
      <c r="F607" s="95"/>
      <c r="G607" s="114"/>
      <c r="H607" s="96"/>
      <c r="I607" s="97"/>
      <c r="J607" s="98"/>
      <c r="K607" s="101"/>
      <c r="L607" s="124"/>
      <c r="M607" s="333"/>
      <c r="N607" s="341"/>
      <c r="O607" s="82"/>
      <c r="P607" s="93"/>
      <c r="Q607" s="82"/>
      <c r="R607" s="93"/>
      <c r="S607" s="298"/>
      <c r="T607" s="304"/>
      <c r="U607" s="307"/>
      <c r="V607" s="309"/>
      <c r="W607" s="248"/>
      <c r="X607" s="342"/>
      <c r="Y607" s="336"/>
      <c r="Z607" s="123"/>
      <c r="AA607" s="33"/>
      <c r="AB607" s="123"/>
      <c r="AC607" s="33"/>
      <c r="AD607" s="123"/>
      <c r="AE607" s="33"/>
      <c r="AF607" s="123"/>
      <c r="AG607" s="243"/>
      <c r="AH607" s="33"/>
      <c r="AI607" s="245"/>
      <c r="AJ607" s="125"/>
      <c r="AK607" s="91"/>
      <c r="AL607" s="126"/>
      <c r="AM607" s="91"/>
      <c r="AN607" s="91"/>
      <c r="AO607" s="197">
        <f t="shared" si="39"/>
        <v>0</v>
      </c>
      <c r="AP607" s="126"/>
      <c r="AQ607" s="216"/>
      <c r="AR607" s="127"/>
      <c r="AS607" s="269"/>
      <c r="AT607" s="94"/>
      <c r="AU607" s="84"/>
      <c r="AV607" s="80"/>
      <c r="AW607" s="81"/>
      <c r="AX607" s="77"/>
      <c r="AY607" s="107"/>
      <c r="AZ607" s="220">
        <f t="shared" si="36"/>
        <v>0</v>
      </c>
      <c r="BA607" s="220">
        <f t="shared" si="37"/>
        <v>0</v>
      </c>
    </row>
    <row r="608" spans="1:53" ht="50.1" customHeight="1" x14ac:dyDescent="0.25">
      <c r="A608" s="17">
        <f t="shared" si="38"/>
        <v>594</v>
      </c>
      <c r="B608" s="229"/>
      <c r="C608" s="222"/>
      <c r="D608" s="112"/>
      <c r="E608" s="128"/>
      <c r="F608" s="129"/>
      <c r="G608" s="130"/>
      <c r="H608" s="131"/>
      <c r="I608" s="132"/>
      <c r="J608" s="108"/>
      <c r="K608" s="133"/>
      <c r="L608" s="134"/>
      <c r="M608" s="334"/>
      <c r="N608" s="343"/>
      <c r="O608" s="135"/>
      <c r="P608" s="82"/>
      <c r="Q608" s="135"/>
      <c r="R608" s="82"/>
      <c r="S608" s="299"/>
      <c r="T608" s="305"/>
      <c r="U608" s="298"/>
      <c r="V608" s="304"/>
      <c r="W608" s="249"/>
      <c r="X608" s="344"/>
      <c r="Y608" s="337"/>
      <c r="Z608" s="33"/>
      <c r="AA608" s="83"/>
      <c r="AB608" s="33"/>
      <c r="AC608" s="83"/>
      <c r="AD608" s="33"/>
      <c r="AE608" s="83"/>
      <c r="AF608" s="33"/>
      <c r="AG608" s="244"/>
      <c r="AH608" s="83"/>
      <c r="AI608" s="246"/>
      <c r="AJ608" s="102"/>
      <c r="AK608" s="92"/>
      <c r="AL608" s="91"/>
      <c r="AM608" s="92"/>
      <c r="AN608" s="351"/>
      <c r="AO608" s="197">
        <f t="shared" si="39"/>
        <v>0</v>
      </c>
      <c r="AP608" s="91"/>
      <c r="AQ608" s="217"/>
      <c r="AR608" s="103"/>
      <c r="AS608" s="264"/>
      <c r="AT608" s="94"/>
      <c r="AU608" s="84"/>
      <c r="AV608" s="136"/>
      <c r="AW608" s="77"/>
      <c r="AX608" s="137"/>
      <c r="AY608" s="138"/>
      <c r="AZ608" s="220">
        <f t="shared" si="36"/>
        <v>0</v>
      </c>
      <c r="BA608" s="220">
        <f t="shared" si="37"/>
        <v>0</v>
      </c>
    </row>
    <row r="609" spans="1:53" ht="50.1" customHeight="1" x14ac:dyDescent="0.25">
      <c r="A609" s="17">
        <f t="shared" si="38"/>
        <v>595</v>
      </c>
      <c r="B609" s="228"/>
      <c r="C609" s="221"/>
      <c r="D609" s="88"/>
      <c r="E609" s="100"/>
      <c r="F609" s="95"/>
      <c r="G609" s="114"/>
      <c r="H609" s="96"/>
      <c r="I609" s="97"/>
      <c r="J609" s="98"/>
      <c r="K609" s="101"/>
      <c r="L609" s="124"/>
      <c r="M609" s="333"/>
      <c r="N609" s="341"/>
      <c r="O609" s="82"/>
      <c r="P609" s="93"/>
      <c r="Q609" s="82"/>
      <c r="R609" s="93"/>
      <c r="S609" s="298"/>
      <c r="T609" s="304"/>
      <c r="U609" s="307"/>
      <c r="V609" s="309"/>
      <c r="W609" s="248"/>
      <c r="X609" s="342"/>
      <c r="Y609" s="336"/>
      <c r="Z609" s="123"/>
      <c r="AA609" s="33"/>
      <c r="AB609" s="123"/>
      <c r="AC609" s="33"/>
      <c r="AD609" s="123"/>
      <c r="AE609" s="33"/>
      <c r="AF609" s="123"/>
      <c r="AG609" s="243"/>
      <c r="AH609" s="33"/>
      <c r="AI609" s="245"/>
      <c r="AJ609" s="125"/>
      <c r="AK609" s="91"/>
      <c r="AL609" s="126"/>
      <c r="AM609" s="91"/>
      <c r="AN609" s="91"/>
      <c r="AO609" s="197">
        <f t="shared" si="39"/>
        <v>0</v>
      </c>
      <c r="AP609" s="126"/>
      <c r="AQ609" s="216"/>
      <c r="AR609" s="127"/>
      <c r="AS609" s="269"/>
      <c r="AT609" s="94"/>
      <c r="AU609" s="84"/>
      <c r="AV609" s="80"/>
      <c r="AW609" s="81"/>
      <c r="AX609" s="77"/>
      <c r="AY609" s="107"/>
      <c r="AZ609" s="220">
        <f t="shared" si="36"/>
        <v>0</v>
      </c>
      <c r="BA609" s="220">
        <f t="shared" si="37"/>
        <v>0</v>
      </c>
    </row>
    <row r="610" spans="1:53" ht="50.1" customHeight="1" x14ac:dyDescent="0.25">
      <c r="A610" s="17">
        <f t="shared" si="38"/>
        <v>596</v>
      </c>
      <c r="B610" s="229"/>
      <c r="C610" s="222"/>
      <c r="D610" s="112"/>
      <c r="E610" s="128"/>
      <c r="F610" s="129"/>
      <c r="G610" s="130"/>
      <c r="H610" s="131"/>
      <c r="I610" s="132"/>
      <c r="J610" s="108"/>
      <c r="K610" s="133"/>
      <c r="L610" s="134"/>
      <c r="M610" s="334"/>
      <c r="N610" s="343"/>
      <c r="O610" s="135"/>
      <c r="P610" s="82"/>
      <c r="Q610" s="135"/>
      <c r="R610" s="82"/>
      <c r="S610" s="299"/>
      <c r="T610" s="305"/>
      <c r="U610" s="298"/>
      <c r="V610" s="304"/>
      <c r="W610" s="249"/>
      <c r="X610" s="344"/>
      <c r="Y610" s="337"/>
      <c r="Z610" s="33"/>
      <c r="AA610" s="83"/>
      <c r="AB610" s="33"/>
      <c r="AC610" s="83"/>
      <c r="AD610" s="33"/>
      <c r="AE610" s="83"/>
      <c r="AF610" s="33"/>
      <c r="AG610" s="244"/>
      <c r="AH610" s="83"/>
      <c r="AI610" s="246"/>
      <c r="AJ610" s="102"/>
      <c r="AK610" s="92"/>
      <c r="AL610" s="91"/>
      <c r="AM610" s="92"/>
      <c r="AN610" s="351"/>
      <c r="AO610" s="197">
        <f t="shared" si="39"/>
        <v>0</v>
      </c>
      <c r="AP610" s="91"/>
      <c r="AQ610" s="217"/>
      <c r="AR610" s="103"/>
      <c r="AS610" s="264"/>
      <c r="AT610" s="94"/>
      <c r="AU610" s="84"/>
      <c r="AV610" s="136"/>
      <c r="AW610" s="77"/>
      <c r="AX610" s="137"/>
      <c r="AY610" s="138"/>
      <c r="AZ610" s="220">
        <f t="shared" si="36"/>
        <v>0</v>
      </c>
      <c r="BA610" s="220">
        <f t="shared" si="37"/>
        <v>0</v>
      </c>
    </row>
    <row r="611" spans="1:53" ht="50.1" customHeight="1" x14ac:dyDescent="0.25">
      <c r="A611" s="17">
        <f t="shared" si="38"/>
        <v>597</v>
      </c>
      <c r="B611" s="228"/>
      <c r="C611" s="221"/>
      <c r="D611" s="88"/>
      <c r="E611" s="100"/>
      <c r="F611" s="95"/>
      <c r="G611" s="114"/>
      <c r="H611" s="96"/>
      <c r="I611" s="97"/>
      <c r="J611" s="98"/>
      <c r="K611" s="101"/>
      <c r="L611" s="124"/>
      <c r="M611" s="333"/>
      <c r="N611" s="341"/>
      <c r="O611" s="82"/>
      <c r="P611" s="93"/>
      <c r="Q611" s="82"/>
      <c r="R611" s="93"/>
      <c r="S611" s="298"/>
      <c r="T611" s="304"/>
      <c r="U611" s="307"/>
      <c r="V611" s="309"/>
      <c r="W611" s="248"/>
      <c r="X611" s="342"/>
      <c r="Y611" s="336"/>
      <c r="Z611" s="123"/>
      <c r="AA611" s="33"/>
      <c r="AB611" s="123"/>
      <c r="AC611" s="33"/>
      <c r="AD611" s="123"/>
      <c r="AE611" s="33"/>
      <c r="AF611" s="123"/>
      <c r="AG611" s="243"/>
      <c r="AH611" s="33"/>
      <c r="AI611" s="245"/>
      <c r="AJ611" s="125"/>
      <c r="AK611" s="91"/>
      <c r="AL611" s="126"/>
      <c r="AM611" s="91"/>
      <c r="AN611" s="91"/>
      <c r="AO611" s="197">
        <f t="shared" si="39"/>
        <v>0</v>
      </c>
      <c r="AP611" s="126"/>
      <c r="AQ611" s="216"/>
      <c r="AR611" s="127"/>
      <c r="AS611" s="269"/>
      <c r="AT611" s="94"/>
      <c r="AU611" s="84"/>
      <c r="AV611" s="80"/>
      <c r="AW611" s="81"/>
      <c r="AX611" s="77"/>
      <c r="AY611" s="107"/>
      <c r="AZ611" s="220">
        <f t="shared" si="36"/>
        <v>0</v>
      </c>
      <c r="BA611" s="220">
        <f t="shared" si="37"/>
        <v>0</v>
      </c>
    </row>
    <row r="612" spans="1:53" ht="50.1" customHeight="1" x14ac:dyDescent="0.25">
      <c r="A612" s="17">
        <f t="shared" si="38"/>
        <v>598</v>
      </c>
      <c r="B612" s="229"/>
      <c r="C612" s="222"/>
      <c r="D612" s="112"/>
      <c r="E612" s="128"/>
      <c r="F612" s="129"/>
      <c r="G612" s="130"/>
      <c r="H612" s="131"/>
      <c r="I612" s="132"/>
      <c r="J612" s="108"/>
      <c r="K612" s="133"/>
      <c r="L612" s="134"/>
      <c r="M612" s="334"/>
      <c r="N612" s="343"/>
      <c r="O612" s="135"/>
      <c r="P612" s="82"/>
      <c r="Q612" s="135"/>
      <c r="R612" s="82"/>
      <c r="S612" s="299"/>
      <c r="T612" s="305"/>
      <c r="U612" s="298"/>
      <c r="V612" s="304"/>
      <c r="W612" s="249"/>
      <c r="X612" s="344"/>
      <c r="Y612" s="337"/>
      <c r="Z612" s="33"/>
      <c r="AA612" s="83"/>
      <c r="AB612" s="33"/>
      <c r="AC612" s="83"/>
      <c r="AD612" s="33"/>
      <c r="AE612" s="83"/>
      <c r="AF612" s="33"/>
      <c r="AG612" s="244"/>
      <c r="AH612" s="83"/>
      <c r="AI612" s="246"/>
      <c r="AJ612" s="102"/>
      <c r="AK612" s="92"/>
      <c r="AL612" s="91"/>
      <c r="AM612" s="92"/>
      <c r="AN612" s="351"/>
      <c r="AO612" s="197">
        <f t="shared" si="39"/>
        <v>0</v>
      </c>
      <c r="AP612" s="91"/>
      <c r="AQ612" s="217"/>
      <c r="AR612" s="103"/>
      <c r="AS612" s="264"/>
      <c r="AT612" s="94"/>
      <c r="AU612" s="84"/>
      <c r="AV612" s="136"/>
      <c r="AW612" s="77"/>
      <c r="AX612" s="137"/>
      <c r="AY612" s="138"/>
      <c r="AZ612" s="220">
        <f t="shared" si="36"/>
        <v>0</v>
      </c>
      <c r="BA612" s="220">
        <f t="shared" si="37"/>
        <v>0</v>
      </c>
    </row>
    <row r="613" spans="1:53" ht="50.1" customHeight="1" x14ac:dyDescent="0.25">
      <c r="A613" s="17">
        <f t="shared" si="38"/>
        <v>599</v>
      </c>
      <c r="B613" s="228"/>
      <c r="C613" s="221"/>
      <c r="D613" s="88"/>
      <c r="E613" s="100"/>
      <c r="F613" s="95"/>
      <c r="G613" s="114"/>
      <c r="H613" s="96"/>
      <c r="I613" s="97"/>
      <c r="J613" s="98"/>
      <c r="K613" s="101"/>
      <c r="L613" s="124"/>
      <c r="M613" s="333"/>
      <c r="N613" s="341"/>
      <c r="O613" s="82"/>
      <c r="P613" s="93"/>
      <c r="Q613" s="82"/>
      <c r="R613" s="93"/>
      <c r="S613" s="298"/>
      <c r="T613" s="304"/>
      <c r="U613" s="307"/>
      <c r="V613" s="309"/>
      <c r="W613" s="248"/>
      <c r="X613" s="342"/>
      <c r="Y613" s="336"/>
      <c r="Z613" s="123"/>
      <c r="AA613" s="33"/>
      <c r="AB613" s="123"/>
      <c r="AC613" s="33"/>
      <c r="AD613" s="123"/>
      <c r="AE613" s="33"/>
      <c r="AF613" s="123"/>
      <c r="AG613" s="243"/>
      <c r="AH613" s="33"/>
      <c r="AI613" s="245"/>
      <c r="AJ613" s="125"/>
      <c r="AK613" s="91"/>
      <c r="AL613" s="126"/>
      <c r="AM613" s="91"/>
      <c r="AN613" s="91"/>
      <c r="AO613" s="197">
        <f t="shared" si="39"/>
        <v>0</v>
      </c>
      <c r="AP613" s="126"/>
      <c r="AQ613" s="216"/>
      <c r="AR613" s="127"/>
      <c r="AS613" s="269"/>
      <c r="AT613" s="94"/>
      <c r="AU613" s="84"/>
      <c r="AV613" s="80"/>
      <c r="AW613" s="81"/>
      <c r="AX613" s="77"/>
      <c r="AY613" s="107"/>
      <c r="AZ613" s="220">
        <f t="shared" si="36"/>
        <v>0</v>
      </c>
      <c r="BA613" s="220">
        <f t="shared" si="37"/>
        <v>0</v>
      </c>
    </row>
    <row r="614" spans="1:53" ht="50.1" customHeight="1" x14ac:dyDescent="0.25">
      <c r="A614" s="17">
        <f t="shared" si="38"/>
        <v>600</v>
      </c>
      <c r="B614" s="229"/>
      <c r="C614" s="222"/>
      <c r="D614" s="112"/>
      <c r="E614" s="128"/>
      <c r="F614" s="129"/>
      <c r="G614" s="130"/>
      <c r="H614" s="131"/>
      <c r="I614" s="132"/>
      <c r="J614" s="108"/>
      <c r="K614" s="133"/>
      <c r="L614" s="134"/>
      <c r="M614" s="334"/>
      <c r="N614" s="343"/>
      <c r="O614" s="135"/>
      <c r="P614" s="82"/>
      <c r="Q614" s="135"/>
      <c r="R614" s="82"/>
      <c r="S614" s="299"/>
      <c r="T614" s="305"/>
      <c r="U614" s="298"/>
      <c r="V614" s="304"/>
      <c r="W614" s="249"/>
      <c r="X614" s="344"/>
      <c r="Y614" s="337"/>
      <c r="Z614" s="33"/>
      <c r="AA614" s="83"/>
      <c r="AB614" s="33"/>
      <c r="AC614" s="83"/>
      <c r="AD614" s="33"/>
      <c r="AE614" s="83"/>
      <c r="AF614" s="33"/>
      <c r="AG614" s="244"/>
      <c r="AH614" s="83"/>
      <c r="AI614" s="246"/>
      <c r="AJ614" s="102"/>
      <c r="AK614" s="92"/>
      <c r="AL614" s="91"/>
      <c r="AM614" s="92"/>
      <c r="AN614" s="351"/>
      <c r="AO614" s="197">
        <f t="shared" si="39"/>
        <v>0</v>
      </c>
      <c r="AP614" s="91"/>
      <c r="AQ614" s="217"/>
      <c r="AR614" s="103"/>
      <c r="AS614" s="264"/>
      <c r="AT614" s="94"/>
      <c r="AU614" s="84"/>
      <c r="AV614" s="136"/>
      <c r="AW614" s="77"/>
      <c r="AX614" s="137"/>
      <c r="AY614" s="138"/>
      <c r="AZ614" s="220">
        <f t="shared" si="36"/>
        <v>0</v>
      </c>
      <c r="BA614" s="220">
        <f t="shared" si="37"/>
        <v>0</v>
      </c>
    </row>
    <row r="615" spans="1:53" ht="50.1" customHeight="1" x14ac:dyDescent="0.25">
      <c r="A615" s="17">
        <f t="shared" si="38"/>
        <v>601</v>
      </c>
      <c r="B615" s="228"/>
      <c r="C615" s="221"/>
      <c r="D615" s="88"/>
      <c r="E615" s="100"/>
      <c r="F615" s="95"/>
      <c r="G615" s="114"/>
      <c r="H615" s="96"/>
      <c r="I615" s="97"/>
      <c r="J615" s="98"/>
      <c r="K615" s="101"/>
      <c r="L615" s="124"/>
      <c r="M615" s="333"/>
      <c r="N615" s="341"/>
      <c r="O615" s="82"/>
      <c r="P615" s="93"/>
      <c r="Q615" s="82"/>
      <c r="R615" s="93"/>
      <c r="S615" s="298"/>
      <c r="T615" s="304"/>
      <c r="U615" s="307"/>
      <c r="V615" s="309"/>
      <c r="W615" s="248"/>
      <c r="X615" s="342"/>
      <c r="Y615" s="336"/>
      <c r="Z615" s="123"/>
      <c r="AA615" s="33"/>
      <c r="AB615" s="123"/>
      <c r="AC615" s="33"/>
      <c r="AD615" s="123"/>
      <c r="AE615" s="33"/>
      <c r="AF615" s="123"/>
      <c r="AG615" s="243"/>
      <c r="AH615" s="33"/>
      <c r="AI615" s="245"/>
      <c r="AJ615" s="125"/>
      <c r="AK615" s="91"/>
      <c r="AL615" s="126"/>
      <c r="AM615" s="91"/>
      <c r="AN615" s="91"/>
      <c r="AO615" s="197">
        <f t="shared" si="39"/>
        <v>0</v>
      </c>
      <c r="AP615" s="126"/>
      <c r="AQ615" s="216"/>
      <c r="AR615" s="127"/>
      <c r="AS615" s="269"/>
      <c r="AT615" s="94"/>
      <c r="AU615" s="84"/>
      <c r="AV615" s="80"/>
      <c r="AW615" s="81"/>
      <c r="AX615" s="77"/>
      <c r="AY615" s="107"/>
      <c r="AZ615" s="220">
        <f t="shared" si="36"/>
        <v>0</v>
      </c>
      <c r="BA615" s="220">
        <f t="shared" si="37"/>
        <v>0</v>
      </c>
    </row>
    <row r="616" spans="1:53" ht="50.1" customHeight="1" x14ac:dyDescent="0.25">
      <c r="A616" s="17">
        <f t="shared" si="38"/>
        <v>602</v>
      </c>
      <c r="B616" s="229"/>
      <c r="C616" s="222"/>
      <c r="D616" s="112"/>
      <c r="E616" s="128"/>
      <c r="F616" s="129"/>
      <c r="G616" s="130"/>
      <c r="H616" s="131"/>
      <c r="I616" s="132"/>
      <c r="J616" s="108"/>
      <c r="K616" s="133"/>
      <c r="L616" s="134"/>
      <c r="M616" s="334"/>
      <c r="N616" s="343"/>
      <c r="O616" s="135"/>
      <c r="P616" s="82"/>
      <c r="Q616" s="135"/>
      <c r="R616" s="82"/>
      <c r="S616" s="299"/>
      <c r="T616" s="305"/>
      <c r="U616" s="298"/>
      <c r="V616" s="304"/>
      <c r="W616" s="249"/>
      <c r="X616" s="344"/>
      <c r="Y616" s="337"/>
      <c r="Z616" s="33"/>
      <c r="AA616" s="83"/>
      <c r="AB616" s="33"/>
      <c r="AC616" s="83"/>
      <c r="AD616" s="33"/>
      <c r="AE616" s="83"/>
      <c r="AF616" s="33"/>
      <c r="AG616" s="244"/>
      <c r="AH616" s="83"/>
      <c r="AI616" s="246"/>
      <c r="AJ616" s="102"/>
      <c r="AK616" s="92"/>
      <c r="AL616" s="91"/>
      <c r="AM616" s="92"/>
      <c r="AN616" s="351"/>
      <c r="AO616" s="197">
        <f t="shared" si="39"/>
        <v>0</v>
      </c>
      <c r="AP616" s="91"/>
      <c r="AQ616" s="217"/>
      <c r="AR616" s="103"/>
      <c r="AS616" s="264"/>
      <c r="AT616" s="94"/>
      <c r="AU616" s="84"/>
      <c r="AV616" s="136"/>
      <c r="AW616" s="77"/>
      <c r="AX616" s="137"/>
      <c r="AY616" s="138"/>
      <c r="AZ616" s="220">
        <f t="shared" si="36"/>
        <v>0</v>
      </c>
      <c r="BA616" s="220">
        <f t="shared" si="37"/>
        <v>0</v>
      </c>
    </row>
    <row r="617" spans="1:53" ht="50.1" customHeight="1" x14ac:dyDescent="0.25">
      <c r="A617" s="17">
        <f t="shared" si="38"/>
        <v>603</v>
      </c>
      <c r="B617" s="228"/>
      <c r="C617" s="221"/>
      <c r="D617" s="88"/>
      <c r="E617" s="100"/>
      <c r="F617" s="95"/>
      <c r="G617" s="114"/>
      <c r="H617" s="96"/>
      <c r="I617" s="97"/>
      <c r="J617" s="98"/>
      <c r="K617" s="101"/>
      <c r="L617" s="124"/>
      <c r="M617" s="333"/>
      <c r="N617" s="341"/>
      <c r="O617" s="82"/>
      <c r="P617" s="93"/>
      <c r="Q617" s="82"/>
      <c r="R617" s="93"/>
      <c r="S617" s="298"/>
      <c r="T617" s="304"/>
      <c r="U617" s="307"/>
      <c r="V617" s="309"/>
      <c r="W617" s="248"/>
      <c r="X617" s="342"/>
      <c r="Y617" s="336"/>
      <c r="Z617" s="123"/>
      <c r="AA617" s="33"/>
      <c r="AB617" s="123"/>
      <c r="AC617" s="33"/>
      <c r="AD617" s="123"/>
      <c r="AE617" s="33"/>
      <c r="AF617" s="123"/>
      <c r="AG617" s="243"/>
      <c r="AH617" s="33"/>
      <c r="AI617" s="245"/>
      <c r="AJ617" s="125"/>
      <c r="AK617" s="91"/>
      <c r="AL617" s="126"/>
      <c r="AM617" s="91"/>
      <c r="AN617" s="91"/>
      <c r="AO617" s="197">
        <f t="shared" si="39"/>
        <v>0</v>
      </c>
      <c r="AP617" s="126"/>
      <c r="AQ617" s="216"/>
      <c r="AR617" s="127"/>
      <c r="AS617" s="269"/>
      <c r="AT617" s="94"/>
      <c r="AU617" s="84"/>
      <c r="AV617" s="80"/>
      <c r="AW617" s="81"/>
      <c r="AX617" s="77"/>
      <c r="AY617" s="107"/>
      <c r="AZ617" s="220">
        <f t="shared" si="36"/>
        <v>0</v>
      </c>
      <c r="BA617" s="220">
        <f t="shared" si="37"/>
        <v>0</v>
      </c>
    </row>
    <row r="618" spans="1:53" ht="50.1" customHeight="1" x14ac:dyDescent="0.25">
      <c r="A618" s="17">
        <f t="shared" si="38"/>
        <v>604</v>
      </c>
      <c r="B618" s="229"/>
      <c r="C618" s="222"/>
      <c r="D618" s="112"/>
      <c r="E618" s="128"/>
      <c r="F618" s="129"/>
      <c r="G618" s="130"/>
      <c r="H618" s="131"/>
      <c r="I618" s="132"/>
      <c r="J618" s="108"/>
      <c r="K618" s="133"/>
      <c r="L618" s="134"/>
      <c r="M618" s="334"/>
      <c r="N618" s="343"/>
      <c r="O618" s="135"/>
      <c r="P618" s="82"/>
      <c r="Q618" s="135"/>
      <c r="R618" s="82"/>
      <c r="S618" s="299"/>
      <c r="T618" s="305"/>
      <c r="U618" s="298"/>
      <c r="V618" s="304"/>
      <c r="W618" s="249"/>
      <c r="X618" s="344"/>
      <c r="Y618" s="337"/>
      <c r="Z618" s="33"/>
      <c r="AA618" s="83"/>
      <c r="AB618" s="33"/>
      <c r="AC618" s="83"/>
      <c r="AD618" s="33"/>
      <c r="AE618" s="83"/>
      <c r="AF618" s="33"/>
      <c r="AG618" s="244"/>
      <c r="AH618" s="83"/>
      <c r="AI618" s="246"/>
      <c r="AJ618" s="102"/>
      <c r="AK618" s="92"/>
      <c r="AL618" s="91"/>
      <c r="AM618" s="92"/>
      <c r="AN618" s="351"/>
      <c r="AO618" s="197">
        <f t="shared" si="39"/>
        <v>0</v>
      </c>
      <c r="AP618" s="91"/>
      <c r="AQ618" s="217"/>
      <c r="AR618" s="103"/>
      <c r="AS618" s="264"/>
      <c r="AT618" s="94"/>
      <c r="AU618" s="84"/>
      <c r="AV618" s="136"/>
      <c r="AW618" s="77"/>
      <c r="AX618" s="137"/>
      <c r="AY618" s="138"/>
      <c r="AZ618" s="220">
        <f t="shared" si="36"/>
        <v>0</v>
      </c>
      <c r="BA618" s="220">
        <f t="shared" si="37"/>
        <v>0</v>
      </c>
    </row>
    <row r="619" spans="1:53" ht="50.1" customHeight="1" x14ac:dyDescent="0.25">
      <c r="A619" s="17">
        <f t="shared" si="38"/>
        <v>605</v>
      </c>
      <c r="B619" s="228"/>
      <c r="C619" s="221"/>
      <c r="D619" s="88"/>
      <c r="E619" s="100"/>
      <c r="F619" s="95"/>
      <c r="G619" s="114"/>
      <c r="H619" s="96"/>
      <c r="I619" s="97"/>
      <c r="J619" s="98"/>
      <c r="K619" s="101"/>
      <c r="L619" s="124"/>
      <c r="M619" s="333"/>
      <c r="N619" s="341"/>
      <c r="O619" s="82"/>
      <c r="P619" s="93"/>
      <c r="Q619" s="82"/>
      <c r="R619" s="93"/>
      <c r="S619" s="298"/>
      <c r="T619" s="304"/>
      <c r="U619" s="307"/>
      <c r="V619" s="309"/>
      <c r="W619" s="248"/>
      <c r="X619" s="342"/>
      <c r="Y619" s="336"/>
      <c r="Z619" s="123"/>
      <c r="AA619" s="33"/>
      <c r="AB619" s="123"/>
      <c r="AC619" s="33"/>
      <c r="AD619" s="123"/>
      <c r="AE619" s="33"/>
      <c r="AF619" s="123"/>
      <c r="AG619" s="243"/>
      <c r="AH619" s="33"/>
      <c r="AI619" s="245"/>
      <c r="AJ619" s="125"/>
      <c r="AK619" s="91"/>
      <c r="AL619" s="126"/>
      <c r="AM619" s="91"/>
      <c r="AN619" s="91"/>
      <c r="AO619" s="197">
        <f t="shared" si="39"/>
        <v>0</v>
      </c>
      <c r="AP619" s="126"/>
      <c r="AQ619" s="216"/>
      <c r="AR619" s="127"/>
      <c r="AS619" s="269"/>
      <c r="AT619" s="94"/>
      <c r="AU619" s="84"/>
      <c r="AV619" s="80"/>
      <c r="AW619" s="81"/>
      <c r="AX619" s="77"/>
      <c r="AY619" s="107"/>
      <c r="AZ619" s="220">
        <f t="shared" si="36"/>
        <v>0</v>
      </c>
      <c r="BA619" s="220">
        <f t="shared" si="37"/>
        <v>0</v>
      </c>
    </row>
    <row r="620" spans="1:53" ht="50.1" customHeight="1" x14ac:dyDescent="0.25">
      <c r="A620" s="17">
        <f t="shared" si="38"/>
        <v>606</v>
      </c>
      <c r="B620" s="229"/>
      <c r="C620" s="222"/>
      <c r="D620" s="112"/>
      <c r="E620" s="128"/>
      <c r="F620" s="129"/>
      <c r="G620" s="130"/>
      <c r="H620" s="131"/>
      <c r="I620" s="132"/>
      <c r="J620" s="108"/>
      <c r="K620" s="133"/>
      <c r="L620" s="134"/>
      <c r="M620" s="334"/>
      <c r="N620" s="343"/>
      <c r="O620" s="135"/>
      <c r="P620" s="82"/>
      <c r="Q620" s="135"/>
      <c r="R620" s="82"/>
      <c r="S620" s="299"/>
      <c r="T620" s="305"/>
      <c r="U620" s="298"/>
      <c r="V620" s="304"/>
      <c r="W620" s="249"/>
      <c r="X620" s="344"/>
      <c r="Y620" s="337"/>
      <c r="Z620" s="33"/>
      <c r="AA620" s="83"/>
      <c r="AB620" s="33"/>
      <c r="AC620" s="83"/>
      <c r="AD620" s="33"/>
      <c r="AE620" s="83"/>
      <c r="AF620" s="33"/>
      <c r="AG620" s="244"/>
      <c r="AH620" s="83"/>
      <c r="AI620" s="246"/>
      <c r="AJ620" s="102"/>
      <c r="AK620" s="92"/>
      <c r="AL620" s="91"/>
      <c r="AM620" s="92"/>
      <c r="AN620" s="351"/>
      <c r="AO620" s="197">
        <f t="shared" si="39"/>
        <v>0</v>
      </c>
      <c r="AP620" s="91"/>
      <c r="AQ620" s="217"/>
      <c r="AR620" s="103"/>
      <c r="AS620" s="264"/>
      <c r="AT620" s="94"/>
      <c r="AU620" s="84"/>
      <c r="AV620" s="136"/>
      <c r="AW620" s="77"/>
      <c r="AX620" s="137"/>
      <c r="AY620" s="138"/>
      <c r="AZ620" s="220">
        <f t="shared" si="36"/>
        <v>0</v>
      </c>
      <c r="BA620" s="220">
        <f t="shared" si="37"/>
        <v>0</v>
      </c>
    </row>
    <row r="621" spans="1:53" ht="50.1" customHeight="1" x14ac:dyDescent="0.25">
      <c r="A621" s="17">
        <f t="shared" si="38"/>
        <v>607</v>
      </c>
      <c r="B621" s="228"/>
      <c r="C621" s="221"/>
      <c r="D621" s="88"/>
      <c r="E621" s="100"/>
      <c r="F621" s="95"/>
      <c r="G621" s="114"/>
      <c r="H621" s="96"/>
      <c r="I621" s="97"/>
      <c r="J621" s="98"/>
      <c r="K621" s="101"/>
      <c r="L621" s="124"/>
      <c r="M621" s="333"/>
      <c r="N621" s="341"/>
      <c r="O621" s="82"/>
      <c r="P621" s="93"/>
      <c r="Q621" s="82"/>
      <c r="R621" s="93"/>
      <c r="S621" s="298"/>
      <c r="T621" s="304"/>
      <c r="U621" s="307"/>
      <c r="V621" s="309"/>
      <c r="W621" s="248"/>
      <c r="X621" s="342"/>
      <c r="Y621" s="336"/>
      <c r="Z621" s="123"/>
      <c r="AA621" s="33"/>
      <c r="AB621" s="123"/>
      <c r="AC621" s="33"/>
      <c r="AD621" s="123"/>
      <c r="AE621" s="33"/>
      <c r="AF621" s="123"/>
      <c r="AG621" s="243"/>
      <c r="AH621" s="33"/>
      <c r="AI621" s="245"/>
      <c r="AJ621" s="125"/>
      <c r="AK621" s="91"/>
      <c r="AL621" s="126"/>
      <c r="AM621" s="91"/>
      <c r="AN621" s="91"/>
      <c r="AO621" s="197">
        <f t="shared" si="39"/>
        <v>0</v>
      </c>
      <c r="AP621" s="126"/>
      <c r="AQ621" s="216"/>
      <c r="AR621" s="127"/>
      <c r="AS621" s="269"/>
      <c r="AT621" s="94"/>
      <c r="AU621" s="84"/>
      <c r="AV621" s="80"/>
      <c r="AW621" s="81"/>
      <c r="AX621" s="77"/>
      <c r="AY621" s="107"/>
      <c r="AZ621" s="220">
        <f t="shared" si="36"/>
        <v>0</v>
      </c>
      <c r="BA621" s="220">
        <f t="shared" si="37"/>
        <v>0</v>
      </c>
    </row>
    <row r="622" spans="1:53" ht="50.1" customHeight="1" x14ac:dyDescent="0.25">
      <c r="A622" s="17">
        <f t="shared" si="38"/>
        <v>608</v>
      </c>
      <c r="B622" s="229"/>
      <c r="C622" s="222"/>
      <c r="D622" s="112"/>
      <c r="E622" s="128"/>
      <c r="F622" s="129"/>
      <c r="G622" s="130"/>
      <c r="H622" s="131"/>
      <c r="I622" s="132"/>
      <c r="J622" s="108"/>
      <c r="K622" s="133"/>
      <c r="L622" s="134"/>
      <c r="M622" s="334"/>
      <c r="N622" s="343"/>
      <c r="O622" s="135"/>
      <c r="P622" s="82"/>
      <c r="Q622" s="135"/>
      <c r="R622" s="82"/>
      <c r="S622" s="299"/>
      <c r="T622" s="305"/>
      <c r="U622" s="298"/>
      <c r="V622" s="304"/>
      <c r="W622" s="249"/>
      <c r="X622" s="344"/>
      <c r="Y622" s="337"/>
      <c r="Z622" s="33"/>
      <c r="AA622" s="83"/>
      <c r="AB622" s="33"/>
      <c r="AC622" s="83"/>
      <c r="AD622" s="33"/>
      <c r="AE622" s="83"/>
      <c r="AF622" s="33"/>
      <c r="AG622" s="244"/>
      <c r="AH622" s="83"/>
      <c r="AI622" s="246"/>
      <c r="AJ622" s="102"/>
      <c r="AK622" s="92"/>
      <c r="AL622" s="91"/>
      <c r="AM622" s="92"/>
      <c r="AN622" s="351"/>
      <c r="AO622" s="197">
        <f t="shared" si="39"/>
        <v>0</v>
      </c>
      <c r="AP622" s="91"/>
      <c r="AQ622" s="217"/>
      <c r="AR622" s="103"/>
      <c r="AS622" s="264"/>
      <c r="AT622" s="94"/>
      <c r="AU622" s="84"/>
      <c r="AV622" s="136"/>
      <c r="AW622" s="77"/>
      <c r="AX622" s="137"/>
      <c r="AY622" s="138"/>
      <c r="AZ622" s="220">
        <f t="shared" si="36"/>
        <v>0</v>
      </c>
      <c r="BA622" s="220">
        <f t="shared" si="37"/>
        <v>0</v>
      </c>
    </row>
    <row r="623" spans="1:53" ht="50.1" customHeight="1" x14ac:dyDescent="0.25">
      <c r="A623" s="17">
        <f t="shared" si="38"/>
        <v>609</v>
      </c>
      <c r="B623" s="228"/>
      <c r="C623" s="221"/>
      <c r="D623" s="88"/>
      <c r="E623" s="100"/>
      <c r="F623" s="95"/>
      <c r="G623" s="114"/>
      <c r="H623" s="96"/>
      <c r="I623" s="97"/>
      <c r="J623" s="98"/>
      <c r="K623" s="101"/>
      <c r="L623" s="124"/>
      <c r="M623" s="333"/>
      <c r="N623" s="341"/>
      <c r="O623" s="82"/>
      <c r="P623" s="93"/>
      <c r="Q623" s="82"/>
      <c r="R623" s="93"/>
      <c r="S623" s="298"/>
      <c r="T623" s="304"/>
      <c r="U623" s="307"/>
      <c r="V623" s="309"/>
      <c r="W623" s="248"/>
      <c r="X623" s="342"/>
      <c r="Y623" s="336"/>
      <c r="Z623" s="123"/>
      <c r="AA623" s="33"/>
      <c r="AB623" s="123"/>
      <c r="AC623" s="33"/>
      <c r="AD623" s="123"/>
      <c r="AE623" s="33"/>
      <c r="AF623" s="123"/>
      <c r="AG623" s="243"/>
      <c r="AH623" s="33"/>
      <c r="AI623" s="245"/>
      <c r="AJ623" s="125"/>
      <c r="AK623" s="91"/>
      <c r="AL623" s="126"/>
      <c r="AM623" s="91"/>
      <c r="AN623" s="91"/>
      <c r="AO623" s="197">
        <f t="shared" si="39"/>
        <v>0</v>
      </c>
      <c r="AP623" s="126"/>
      <c r="AQ623" s="216"/>
      <c r="AR623" s="127"/>
      <c r="AS623" s="269"/>
      <c r="AT623" s="94"/>
      <c r="AU623" s="84"/>
      <c r="AV623" s="80"/>
      <c r="AW623" s="81"/>
      <c r="AX623" s="77"/>
      <c r="AY623" s="107"/>
      <c r="AZ623" s="220">
        <f t="shared" si="36"/>
        <v>0</v>
      </c>
      <c r="BA623" s="220">
        <f t="shared" si="37"/>
        <v>0</v>
      </c>
    </row>
    <row r="624" spans="1:53" ht="50.1" customHeight="1" x14ac:dyDescent="0.25">
      <c r="A624" s="17">
        <f t="shared" si="38"/>
        <v>610</v>
      </c>
      <c r="B624" s="229"/>
      <c r="C624" s="222"/>
      <c r="D624" s="112"/>
      <c r="E624" s="128"/>
      <c r="F624" s="129"/>
      <c r="G624" s="130"/>
      <c r="H624" s="131"/>
      <c r="I624" s="132"/>
      <c r="J624" s="108"/>
      <c r="K624" s="133"/>
      <c r="L624" s="134"/>
      <c r="M624" s="334"/>
      <c r="N624" s="343"/>
      <c r="O624" s="135"/>
      <c r="P624" s="82"/>
      <c r="Q624" s="135"/>
      <c r="R624" s="82"/>
      <c r="S624" s="299"/>
      <c r="T624" s="305"/>
      <c r="U624" s="298"/>
      <c r="V624" s="304"/>
      <c r="W624" s="249"/>
      <c r="X624" s="344"/>
      <c r="Y624" s="337"/>
      <c r="Z624" s="33"/>
      <c r="AA624" s="83"/>
      <c r="AB624" s="33"/>
      <c r="AC624" s="83"/>
      <c r="AD624" s="33"/>
      <c r="AE624" s="83"/>
      <c r="AF624" s="33"/>
      <c r="AG624" s="244"/>
      <c r="AH624" s="83"/>
      <c r="AI624" s="246"/>
      <c r="AJ624" s="102"/>
      <c r="AK624" s="92"/>
      <c r="AL624" s="91"/>
      <c r="AM624" s="92"/>
      <c r="AN624" s="351"/>
      <c r="AO624" s="197">
        <f t="shared" si="39"/>
        <v>0</v>
      </c>
      <c r="AP624" s="91"/>
      <c r="AQ624" s="217"/>
      <c r="AR624" s="103"/>
      <c r="AS624" s="264"/>
      <c r="AT624" s="94"/>
      <c r="AU624" s="84"/>
      <c r="AV624" s="136"/>
      <c r="AW624" s="77"/>
      <c r="AX624" s="137"/>
      <c r="AY624" s="138"/>
      <c r="AZ624" s="220">
        <f t="shared" si="36"/>
        <v>0</v>
      </c>
      <c r="BA624" s="220">
        <f t="shared" si="37"/>
        <v>0</v>
      </c>
    </row>
    <row r="625" spans="1:53" ht="50.1" customHeight="1" x14ac:dyDescent="0.25">
      <c r="A625" s="17">
        <f t="shared" si="38"/>
        <v>611</v>
      </c>
      <c r="B625" s="228"/>
      <c r="C625" s="221"/>
      <c r="D625" s="88"/>
      <c r="E625" s="100"/>
      <c r="F625" s="95"/>
      <c r="G625" s="114"/>
      <c r="H625" s="96"/>
      <c r="I625" s="97"/>
      <c r="J625" s="98"/>
      <c r="K625" s="101"/>
      <c r="L625" s="124"/>
      <c r="M625" s="333"/>
      <c r="N625" s="341"/>
      <c r="O625" s="82"/>
      <c r="P625" s="93"/>
      <c r="Q625" s="82"/>
      <c r="R625" s="93"/>
      <c r="S625" s="298"/>
      <c r="T625" s="304"/>
      <c r="U625" s="307"/>
      <c r="V625" s="309"/>
      <c r="W625" s="248"/>
      <c r="X625" s="342"/>
      <c r="Y625" s="336"/>
      <c r="Z625" s="123"/>
      <c r="AA625" s="33"/>
      <c r="AB625" s="123"/>
      <c r="AC625" s="33"/>
      <c r="AD625" s="123"/>
      <c r="AE625" s="33"/>
      <c r="AF625" s="123"/>
      <c r="AG625" s="243"/>
      <c r="AH625" s="33"/>
      <c r="AI625" s="245"/>
      <c r="AJ625" s="125"/>
      <c r="AK625" s="91"/>
      <c r="AL625" s="126"/>
      <c r="AM625" s="91"/>
      <c r="AN625" s="91"/>
      <c r="AO625" s="197">
        <f t="shared" si="39"/>
        <v>0</v>
      </c>
      <c r="AP625" s="126"/>
      <c r="AQ625" s="216"/>
      <c r="AR625" s="127"/>
      <c r="AS625" s="269"/>
      <c r="AT625" s="94"/>
      <c r="AU625" s="84"/>
      <c r="AV625" s="80"/>
      <c r="AW625" s="81"/>
      <c r="AX625" s="77"/>
      <c r="AY625" s="107"/>
      <c r="AZ625" s="220">
        <f t="shared" si="36"/>
        <v>0</v>
      </c>
      <c r="BA625" s="220">
        <f t="shared" si="37"/>
        <v>0</v>
      </c>
    </row>
    <row r="626" spans="1:53" ht="50.1" customHeight="1" x14ac:dyDescent="0.25">
      <c r="A626" s="17">
        <f t="shared" si="38"/>
        <v>612</v>
      </c>
      <c r="B626" s="229"/>
      <c r="C626" s="222"/>
      <c r="D626" s="112"/>
      <c r="E626" s="128"/>
      <c r="F626" s="129"/>
      <c r="G626" s="130"/>
      <c r="H626" s="131"/>
      <c r="I626" s="132"/>
      <c r="J626" s="108"/>
      <c r="K626" s="133"/>
      <c r="L626" s="134"/>
      <c r="M626" s="334"/>
      <c r="N626" s="343"/>
      <c r="O626" s="135"/>
      <c r="P626" s="82"/>
      <c r="Q626" s="135"/>
      <c r="R626" s="82"/>
      <c r="S626" s="299"/>
      <c r="T626" s="305"/>
      <c r="U626" s="298"/>
      <c r="V626" s="304"/>
      <c r="W626" s="249"/>
      <c r="X626" s="344"/>
      <c r="Y626" s="337"/>
      <c r="Z626" s="33"/>
      <c r="AA626" s="83"/>
      <c r="AB626" s="33"/>
      <c r="AC626" s="83"/>
      <c r="AD626" s="33"/>
      <c r="AE626" s="83"/>
      <c r="AF626" s="33"/>
      <c r="AG626" s="244"/>
      <c r="AH626" s="83"/>
      <c r="AI626" s="246"/>
      <c r="AJ626" s="102"/>
      <c r="AK626" s="92"/>
      <c r="AL626" s="91"/>
      <c r="AM626" s="92"/>
      <c r="AN626" s="351"/>
      <c r="AO626" s="197">
        <f t="shared" si="39"/>
        <v>0</v>
      </c>
      <c r="AP626" s="91"/>
      <c r="AQ626" s="217"/>
      <c r="AR626" s="103"/>
      <c r="AS626" s="264"/>
      <c r="AT626" s="94"/>
      <c r="AU626" s="84"/>
      <c r="AV626" s="136"/>
      <c r="AW626" s="77"/>
      <c r="AX626" s="137"/>
      <c r="AY626" s="138"/>
      <c r="AZ626" s="220">
        <f t="shared" si="36"/>
        <v>0</v>
      </c>
      <c r="BA626" s="220">
        <f t="shared" si="37"/>
        <v>0</v>
      </c>
    </row>
    <row r="627" spans="1:53" ht="50.1" customHeight="1" x14ac:dyDescent="0.25">
      <c r="A627" s="17">
        <f t="shared" si="38"/>
        <v>613</v>
      </c>
      <c r="B627" s="228"/>
      <c r="C627" s="221"/>
      <c r="D627" s="88"/>
      <c r="E627" s="100"/>
      <c r="F627" s="95"/>
      <c r="G627" s="114"/>
      <c r="H627" s="96"/>
      <c r="I627" s="97"/>
      <c r="J627" s="98"/>
      <c r="K627" s="101"/>
      <c r="L627" s="124"/>
      <c r="M627" s="333"/>
      <c r="N627" s="341"/>
      <c r="O627" s="82"/>
      <c r="P627" s="93"/>
      <c r="Q627" s="82"/>
      <c r="R627" s="93"/>
      <c r="S627" s="298"/>
      <c r="T627" s="304"/>
      <c r="U627" s="307"/>
      <c r="V627" s="309"/>
      <c r="W627" s="248"/>
      <c r="X627" s="342"/>
      <c r="Y627" s="336"/>
      <c r="Z627" s="123"/>
      <c r="AA627" s="33"/>
      <c r="AB627" s="123"/>
      <c r="AC627" s="33"/>
      <c r="AD627" s="123"/>
      <c r="AE627" s="33"/>
      <c r="AF627" s="123"/>
      <c r="AG627" s="243"/>
      <c r="AH627" s="33"/>
      <c r="AI627" s="245"/>
      <c r="AJ627" s="125"/>
      <c r="AK627" s="91"/>
      <c r="AL627" s="126"/>
      <c r="AM627" s="91"/>
      <c r="AN627" s="91"/>
      <c r="AO627" s="197">
        <f t="shared" si="39"/>
        <v>0</v>
      </c>
      <c r="AP627" s="126"/>
      <c r="AQ627" s="216"/>
      <c r="AR627" s="127"/>
      <c r="AS627" s="269"/>
      <c r="AT627" s="94"/>
      <c r="AU627" s="84"/>
      <c r="AV627" s="80"/>
      <c r="AW627" s="81"/>
      <c r="AX627" s="77"/>
      <c r="AY627" s="107"/>
      <c r="AZ627" s="220">
        <f t="shared" si="36"/>
        <v>0</v>
      </c>
      <c r="BA627" s="220">
        <f t="shared" si="37"/>
        <v>0</v>
      </c>
    </row>
    <row r="628" spans="1:53" ht="50.1" customHeight="1" x14ac:dyDescent="0.25">
      <c r="A628" s="17">
        <f t="shared" si="38"/>
        <v>614</v>
      </c>
      <c r="B628" s="229"/>
      <c r="C628" s="222"/>
      <c r="D628" s="112"/>
      <c r="E628" s="128"/>
      <c r="F628" s="129"/>
      <c r="G628" s="130"/>
      <c r="H628" s="131"/>
      <c r="I628" s="132"/>
      <c r="J628" s="108"/>
      <c r="K628" s="133"/>
      <c r="L628" s="134"/>
      <c r="M628" s="334"/>
      <c r="N628" s="343"/>
      <c r="O628" s="135"/>
      <c r="P628" s="82"/>
      <c r="Q628" s="135"/>
      <c r="R628" s="82"/>
      <c r="S628" s="299"/>
      <c r="T628" s="305"/>
      <c r="U628" s="298"/>
      <c r="V628" s="304"/>
      <c r="W628" s="249"/>
      <c r="X628" s="344"/>
      <c r="Y628" s="337"/>
      <c r="Z628" s="33"/>
      <c r="AA628" s="83"/>
      <c r="AB628" s="33"/>
      <c r="AC628" s="83"/>
      <c r="AD628" s="33"/>
      <c r="AE628" s="83"/>
      <c r="AF628" s="33"/>
      <c r="AG628" s="244"/>
      <c r="AH628" s="83"/>
      <c r="AI628" s="246"/>
      <c r="AJ628" s="102"/>
      <c r="AK628" s="92"/>
      <c r="AL628" s="91"/>
      <c r="AM628" s="92"/>
      <c r="AN628" s="351"/>
      <c r="AO628" s="197">
        <f t="shared" si="39"/>
        <v>0</v>
      </c>
      <c r="AP628" s="91"/>
      <c r="AQ628" s="217"/>
      <c r="AR628" s="103"/>
      <c r="AS628" s="264"/>
      <c r="AT628" s="94"/>
      <c r="AU628" s="84"/>
      <c r="AV628" s="136"/>
      <c r="AW628" s="77"/>
      <c r="AX628" s="137"/>
      <c r="AY628" s="138"/>
      <c r="AZ628" s="220">
        <f t="shared" si="36"/>
        <v>0</v>
      </c>
      <c r="BA628" s="220">
        <f t="shared" si="37"/>
        <v>0</v>
      </c>
    </row>
    <row r="629" spans="1:53" ht="50.1" customHeight="1" x14ac:dyDescent="0.25">
      <c r="A629" s="17">
        <f t="shared" si="38"/>
        <v>615</v>
      </c>
      <c r="B629" s="228"/>
      <c r="C629" s="221"/>
      <c r="D629" s="88"/>
      <c r="E629" s="100"/>
      <c r="F629" s="95"/>
      <c r="G629" s="114"/>
      <c r="H629" s="96"/>
      <c r="I629" s="97"/>
      <c r="J629" s="98"/>
      <c r="K629" s="101"/>
      <c r="L629" s="124"/>
      <c r="M629" s="333"/>
      <c r="N629" s="341"/>
      <c r="O629" s="82"/>
      <c r="P629" s="93"/>
      <c r="Q629" s="82"/>
      <c r="R629" s="93"/>
      <c r="S629" s="298"/>
      <c r="T629" s="304"/>
      <c r="U629" s="307"/>
      <c r="V629" s="309"/>
      <c r="W629" s="248"/>
      <c r="X629" s="342"/>
      <c r="Y629" s="336"/>
      <c r="Z629" s="123"/>
      <c r="AA629" s="33"/>
      <c r="AB629" s="123"/>
      <c r="AC629" s="33"/>
      <c r="AD629" s="123"/>
      <c r="AE629" s="33"/>
      <c r="AF629" s="123"/>
      <c r="AG629" s="243"/>
      <c r="AH629" s="33"/>
      <c r="AI629" s="245"/>
      <c r="AJ629" s="125"/>
      <c r="AK629" s="91"/>
      <c r="AL629" s="126"/>
      <c r="AM629" s="91"/>
      <c r="AN629" s="91"/>
      <c r="AO629" s="197">
        <f t="shared" si="39"/>
        <v>0</v>
      </c>
      <c r="AP629" s="126"/>
      <c r="AQ629" s="216"/>
      <c r="AR629" s="127"/>
      <c r="AS629" s="269"/>
      <c r="AT629" s="94"/>
      <c r="AU629" s="84"/>
      <c r="AV629" s="80"/>
      <c r="AW629" s="81"/>
      <c r="AX629" s="77"/>
      <c r="AY629" s="107"/>
      <c r="AZ629" s="220">
        <f t="shared" si="36"/>
        <v>0</v>
      </c>
      <c r="BA629" s="220">
        <f t="shared" si="37"/>
        <v>0</v>
      </c>
    </row>
    <row r="630" spans="1:53" ht="50.1" customHeight="1" x14ac:dyDescent="0.25">
      <c r="A630" s="17">
        <f t="shared" si="38"/>
        <v>616</v>
      </c>
      <c r="B630" s="229"/>
      <c r="C630" s="222"/>
      <c r="D630" s="112"/>
      <c r="E630" s="128"/>
      <c r="F630" s="129"/>
      <c r="G630" s="130"/>
      <c r="H630" s="131"/>
      <c r="I630" s="132"/>
      <c r="J630" s="108"/>
      <c r="K630" s="133"/>
      <c r="L630" s="134"/>
      <c r="M630" s="334"/>
      <c r="N630" s="343"/>
      <c r="O630" s="135"/>
      <c r="P630" s="82"/>
      <c r="Q630" s="135"/>
      <c r="R630" s="82"/>
      <c r="S630" s="299"/>
      <c r="T630" s="305"/>
      <c r="U630" s="298"/>
      <c r="V630" s="304"/>
      <c r="W630" s="249"/>
      <c r="X630" s="344"/>
      <c r="Y630" s="337"/>
      <c r="Z630" s="33"/>
      <c r="AA630" s="83"/>
      <c r="AB630" s="33"/>
      <c r="AC630" s="83"/>
      <c r="AD630" s="33"/>
      <c r="AE630" s="83"/>
      <c r="AF630" s="33"/>
      <c r="AG630" s="244"/>
      <c r="AH630" s="83"/>
      <c r="AI630" s="246"/>
      <c r="AJ630" s="102"/>
      <c r="AK630" s="92"/>
      <c r="AL630" s="91"/>
      <c r="AM630" s="92"/>
      <c r="AN630" s="351"/>
      <c r="AO630" s="197">
        <f t="shared" si="39"/>
        <v>0</v>
      </c>
      <c r="AP630" s="91"/>
      <c r="AQ630" s="217"/>
      <c r="AR630" s="103"/>
      <c r="AS630" s="264"/>
      <c r="AT630" s="94"/>
      <c r="AU630" s="84"/>
      <c r="AV630" s="136"/>
      <c r="AW630" s="77"/>
      <c r="AX630" s="137"/>
      <c r="AY630" s="138"/>
      <c r="AZ630" s="220">
        <f t="shared" si="36"/>
        <v>0</v>
      </c>
      <c r="BA630" s="220">
        <f t="shared" si="37"/>
        <v>0</v>
      </c>
    </row>
    <row r="631" spans="1:53" ht="50.1" customHeight="1" x14ac:dyDescent="0.25">
      <c r="A631" s="17">
        <f t="shared" si="38"/>
        <v>617</v>
      </c>
      <c r="B631" s="228"/>
      <c r="C631" s="221"/>
      <c r="D631" s="88"/>
      <c r="E631" s="100"/>
      <c r="F631" s="95"/>
      <c r="G631" s="114"/>
      <c r="H631" s="96"/>
      <c r="I631" s="97"/>
      <c r="J631" s="98"/>
      <c r="K631" s="101"/>
      <c r="L631" s="124"/>
      <c r="M631" s="333"/>
      <c r="N631" s="341"/>
      <c r="O631" s="82"/>
      <c r="P631" s="93"/>
      <c r="Q631" s="82"/>
      <c r="R631" s="93"/>
      <c r="S631" s="298"/>
      <c r="T631" s="304"/>
      <c r="U631" s="307"/>
      <c r="V631" s="309"/>
      <c r="W631" s="248"/>
      <c r="X631" s="342"/>
      <c r="Y631" s="336"/>
      <c r="Z631" s="123"/>
      <c r="AA631" s="33"/>
      <c r="AB631" s="123"/>
      <c r="AC631" s="33"/>
      <c r="AD631" s="123"/>
      <c r="AE631" s="33"/>
      <c r="AF631" s="123"/>
      <c r="AG631" s="243"/>
      <c r="AH631" s="33"/>
      <c r="AI631" s="245"/>
      <c r="AJ631" s="125"/>
      <c r="AK631" s="91"/>
      <c r="AL631" s="126"/>
      <c r="AM631" s="91"/>
      <c r="AN631" s="91"/>
      <c r="AO631" s="197">
        <f t="shared" si="39"/>
        <v>0</v>
      </c>
      <c r="AP631" s="126"/>
      <c r="AQ631" s="216"/>
      <c r="AR631" s="127"/>
      <c r="AS631" s="269"/>
      <c r="AT631" s="94"/>
      <c r="AU631" s="84"/>
      <c r="AV631" s="80"/>
      <c r="AW631" s="81"/>
      <c r="AX631" s="77"/>
      <c r="AY631" s="107"/>
      <c r="AZ631" s="220">
        <f t="shared" si="36"/>
        <v>0</v>
      </c>
      <c r="BA631" s="220">
        <f t="shared" si="37"/>
        <v>0</v>
      </c>
    </row>
    <row r="632" spans="1:53" ht="50.1" customHeight="1" x14ac:dyDescent="0.25">
      <c r="A632" s="17">
        <f t="shared" si="38"/>
        <v>618</v>
      </c>
      <c r="B632" s="229"/>
      <c r="C632" s="222"/>
      <c r="D632" s="112"/>
      <c r="E632" s="128"/>
      <c r="F632" s="129"/>
      <c r="G632" s="130"/>
      <c r="H632" s="131"/>
      <c r="I632" s="132"/>
      <c r="J632" s="108"/>
      <c r="K632" s="133"/>
      <c r="L632" s="134"/>
      <c r="M632" s="334"/>
      <c r="N632" s="343"/>
      <c r="O632" s="135"/>
      <c r="P632" s="82"/>
      <c r="Q632" s="135"/>
      <c r="R632" s="82"/>
      <c r="S632" s="299"/>
      <c r="T632" s="305"/>
      <c r="U632" s="298"/>
      <c r="V632" s="304"/>
      <c r="W632" s="249"/>
      <c r="X632" s="344"/>
      <c r="Y632" s="337"/>
      <c r="Z632" s="33"/>
      <c r="AA632" s="83"/>
      <c r="AB632" s="33"/>
      <c r="AC632" s="83"/>
      <c r="AD632" s="33"/>
      <c r="AE632" s="83"/>
      <c r="AF632" s="33"/>
      <c r="AG632" s="244"/>
      <c r="AH632" s="83"/>
      <c r="AI632" s="246"/>
      <c r="AJ632" s="102"/>
      <c r="AK632" s="92"/>
      <c r="AL632" s="91"/>
      <c r="AM632" s="92"/>
      <c r="AN632" s="351"/>
      <c r="AO632" s="197">
        <f t="shared" si="39"/>
        <v>0</v>
      </c>
      <c r="AP632" s="91"/>
      <c r="AQ632" s="217"/>
      <c r="AR632" s="103"/>
      <c r="AS632" s="264"/>
      <c r="AT632" s="94"/>
      <c r="AU632" s="84"/>
      <c r="AV632" s="136"/>
      <c r="AW632" s="77"/>
      <c r="AX632" s="137"/>
      <c r="AY632" s="138"/>
      <c r="AZ632" s="220">
        <f t="shared" si="36"/>
        <v>0</v>
      </c>
      <c r="BA632" s="220">
        <f t="shared" si="37"/>
        <v>0</v>
      </c>
    </row>
    <row r="633" spans="1:53" ht="50.1" customHeight="1" x14ac:dyDescent="0.25">
      <c r="A633" s="17">
        <f t="shared" si="38"/>
        <v>619</v>
      </c>
      <c r="B633" s="228"/>
      <c r="C633" s="221"/>
      <c r="D633" s="88"/>
      <c r="E633" s="100"/>
      <c r="F633" s="95"/>
      <c r="G633" s="114"/>
      <c r="H633" s="96"/>
      <c r="I633" s="97"/>
      <c r="J633" s="98"/>
      <c r="K633" s="101"/>
      <c r="L633" s="124"/>
      <c r="M633" s="333"/>
      <c r="N633" s="341"/>
      <c r="O633" s="82"/>
      <c r="P633" s="93"/>
      <c r="Q633" s="82"/>
      <c r="R633" s="93"/>
      <c r="S633" s="298"/>
      <c r="T633" s="304"/>
      <c r="U633" s="307"/>
      <c r="V633" s="309"/>
      <c r="W633" s="248"/>
      <c r="X633" s="342"/>
      <c r="Y633" s="336"/>
      <c r="Z633" s="123"/>
      <c r="AA633" s="33"/>
      <c r="AB633" s="123"/>
      <c r="AC633" s="33"/>
      <c r="AD633" s="123"/>
      <c r="AE633" s="33"/>
      <c r="AF633" s="123"/>
      <c r="AG633" s="243"/>
      <c r="AH633" s="33"/>
      <c r="AI633" s="245"/>
      <c r="AJ633" s="125"/>
      <c r="AK633" s="91"/>
      <c r="AL633" s="126"/>
      <c r="AM633" s="91"/>
      <c r="AN633" s="91"/>
      <c r="AO633" s="197">
        <f t="shared" si="39"/>
        <v>0</v>
      </c>
      <c r="AP633" s="126"/>
      <c r="AQ633" s="216"/>
      <c r="AR633" s="127"/>
      <c r="AS633" s="269"/>
      <c r="AT633" s="94"/>
      <c r="AU633" s="84"/>
      <c r="AV633" s="80"/>
      <c r="AW633" s="81"/>
      <c r="AX633" s="77"/>
      <c r="AY633" s="107"/>
      <c r="AZ633" s="220">
        <f t="shared" si="36"/>
        <v>0</v>
      </c>
      <c r="BA633" s="220">
        <f t="shared" si="37"/>
        <v>0</v>
      </c>
    </row>
    <row r="634" spans="1:53" ht="50.1" customHeight="1" x14ac:dyDescent="0.25">
      <c r="A634" s="17">
        <f t="shared" si="38"/>
        <v>620</v>
      </c>
      <c r="B634" s="229"/>
      <c r="C634" s="222"/>
      <c r="D634" s="112"/>
      <c r="E634" s="128"/>
      <c r="F634" s="129"/>
      <c r="G634" s="130"/>
      <c r="H634" s="131"/>
      <c r="I634" s="132"/>
      <c r="J634" s="108"/>
      <c r="K634" s="133"/>
      <c r="L634" s="134"/>
      <c r="M634" s="334"/>
      <c r="N634" s="343"/>
      <c r="O634" s="135"/>
      <c r="P634" s="82"/>
      <c r="Q634" s="135"/>
      <c r="R634" s="82"/>
      <c r="S634" s="299"/>
      <c r="T634" s="305"/>
      <c r="U634" s="298"/>
      <c r="V634" s="304"/>
      <c r="W634" s="249"/>
      <c r="X634" s="344"/>
      <c r="Y634" s="337"/>
      <c r="Z634" s="33"/>
      <c r="AA634" s="83"/>
      <c r="AB634" s="33"/>
      <c r="AC634" s="83"/>
      <c r="AD634" s="33"/>
      <c r="AE634" s="83"/>
      <c r="AF634" s="33"/>
      <c r="AG634" s="244"/>
      <c r="AH634" s="83"/>
      <c r="AI634" s="246"/>
      <c r="AJ634" s="102"/>
      <c r="AK634" s="92"/>
      <c r="AL634" s="91"/>
      <c r="AM634" s="92"/>
      <c r="AN634" s="351"/>
      <c r="AO634" s="197">
        <f t="shared" si="39"/>
        <v>0</v>
      </c>
      <c r="AP634" s="91"/>
      <c r="AQ634" s="217"/>
      <c r="AR634" s="103"/>
      <c r="AS634" s="264"/>
      <c r="AT634" s="94"/>
      <c r="AU634" s="84"/>
      <c r="AV634" s="136"/>
      <c r="AW634" s="77"/>
      <c r="AX634" s="137"/>
      <c r="AY634" s="138"/>
      <c r="AZ634" s="220">
        <f t="shared" si="36"/>
        <v>0</v>
      </c>
      <c r="BA634" s="220">
        <f t="shared" si="37"/>
        <v>0</v>
      </c>
    </row>
    <row r="635" spans="1:53" ht="50.1" customHeight="1" x14ac:dyDescent="0.25">
      <c r="A635" s="17">
        <f t="shared" si="38"/>
        <v>621</v>
      </c>
      <c r="B635" s="228"/>
      <c r="C635" s="221"/>
      <c r="D635" s="88"/>
      <c r="E635" s="100"/>
      <c r="F635" s="95"/>
      <c r="G635" s="114"/>
      <c r="H635" s="96"/>
      <c r="I635" s="97"/>
      <c r="J635" s="98"/>
      <c r="K635" s="101"/>
      <c r="L635" s="124"/>
      <c r="M635" s="333"/>
      <c r="N635" s="341"/>
      <c r="O635" s="82"/>
      <c r="P635" s="93"/>
      <c r="Q635" s="82"/>
      <c r="R635" s="93"/>
      <c r="S635" s="298"/>
      <c r="T635" s="304"/>
      <c r="U635" s="307"/>
      <c r="V635" s="309"/>
      <c r="W635" s="248"/>
      <c r="X635" s="342"/>
      <c r="Y635" s="336"/>
      <c r="Z635" s="123"/>
      <c r="AA635" s="33"/>
      <c r="AB635" s="123"/>
      <c r="AC635" s="33"/>
      <c r="AD635" s="123"/>
      <c r="AE635" s="33"/>
      <c r="AF635" s="123"/>
      <c r="AG635" s="243"/>
      <c r="AH635" s="33"/>
      <c r="AI635" s="245"/>
      <c r="AJ635" s="125"/>
      <c r="AK635" s="91"/>
      <c r="AL635" s="126"/>
      <c r="AM635" s="91"/>
      <c r="AN635" s="91"/>
      <c r="AO635" s="197">
        <f t="shared" si="39"/>
        <v>0</v>
      </c>
      <c r="AP635" s="126"/>
      <c r="AQ635" s="216"/>
      <c r="AR635" s="127"/>
      <c r="AS635" s="269"/>
      <c r="AT635" s="94"/>
      <c r="AU635" s="84"/>
      <c r="AV635" s="80"/>
      <c r="AW635" s="81"/>
      <c r="AX635" s="77"/>
      <c r="AY635" s="107"/>
      <c r="AZ635" s="220">
        <f t="shared" si="36"/>
        <v>0</v>
      </c>
      <c r="BA635" s="220">
        <f t="shared" si="37"/>
        <v>0</v>
      </c>
    </row>
    <row r="636" spans="1:53" ht="50.1" customHeight="1" x14ac:dyDescent="0.25">
      <c r="A636" s="17">
        <f t="shared" si="38"/>
        <v>622</v>
      </c>
      <c r="B636" s="229"/>
      <c r="C636" s="222"/>
      <c r="D636" s="112"/>
      <c r="E636" s="128"/>
      <c r="F636" s="129"/>
      <c r="G636" s="130"/>
      <c r="H636" s="131"/>
      <c r="I636" s="132"/>
      <c r="J636" s="108"/>
      <c r="K636" s="133"/>
      <c r="L636" s="134"/>
      <c r="M636" s="334"/>
      <c r="N636" s="343"/>
      <c r="O636" s="135"/>
      <c r="P636" s="82"/>
      <c r="Q636" s="135"/>
      <c r="R636" s="82"/>
      <c r="S636" s="299"/>
      <c r="T636" s="305"/>
      <c r="U636" s="298"/>
      <c r="V636" s="304"/>
      <c r="W636" s="249"/>
      <c r="X636" s="344"/>
      <c r="Y636" s="337"/>
      <c r="Z636" s="33"/>
      <c r="AA636" s="83"/>
      <c r="AB636" s="33"/>
      <c r="AC636" s="83"/>
      <c r="AD636" s="33"/>
      <c r="AE636" s="83"/>
      <c r="AF636" s="33"/>
      <c r="AG636" s="244"/>
      <c r="AH636" s="83"/>
      <c r="AI636" s="246"/>
      <c r="AJ636" s="102"/>
      <c r="AK636" s="92"/>
      <c r="AL636" s="91"/>
      <c r="AM636" s="92"/>
      <c r="AN636" s="351"/>
      <c r="AO636" s="197">
        <f t="shared" si="39"/>
        <v>0</v>
      </c>
      <c r="AP636" s="91"/>
      <c r="AQ636" s="217"/>
      <c r="AR636" s="103"/>
      <c r="AS636" s="264"/>
      <c r="AT636" s="94"/>
      <c r="AU636" s="84"/>
      <c r="AV636" s="136"/>
      <c r="AW636" s="77"/>
      <c r="AX636" s="137"/>
      <c r="AY636" s="138"/>
      <c r="AZ636" s="220">
        <f t="shared" si="36"/>
        <v>0</v>
      </c>
      <c r="BA636" s="220">
        <f t="shared" si="37"/>
        <v>0</v>
      </c>
    </row>
    <row r="637" spans="1:53" ht="50.1" customHeight="1" x14ac:dyDescent="0.25">
      <c r="A637" s="17">
        <f t="shared" si="38"/>
        <v>623</v>
      </c>
      <c r="B637" s="228"/>
      <c r="C637" s="221"/>
      <c r="D637" s="88"/>
      <c r="E637" s="100"/>
      <c r="F637" s="95"/>
      <c r="G637" s="114"/>
      <c r="H637" s="96"/>
      <c r="I637" s="97"/>
      <c r="J637" s="98"/>
      <c r="K637" s="101"/>
      <c r="L637" s="124"/>
      <c r="M637" s="333"/>
      <c r="N637" s="341"/>
      <c r="O637" s="82"/>
      <c r="P637" s="93"/>
      <c r="Q637" s="82"/>
      <c r="R637" s="93"/>
      <c r="S637" s="298"/>
      <c r="T637" s="304"/>
      <c r="U637" s="307"/>
      <c r="V637" s="309"/>
      <c r="W637" s="248"/>
      <c r="X637" s="342"/>
      <c r="Y637" s="336"/>
      <c r="Z637" s="123"/>
      <c r="AA637" s="33"/>
      <c r="AB637" s="123"/>
      <c r="AC637" s="33"/>
      <c r="AD637" s="123"/>
      <c r="AE637" s="33"/>
      <c r="AF637" s="123"/>
      <c r="AG637" s="243"/>
      <c r="AH637" s="33"/>
      <c r="AI637" s="245"/>
      <c r="AJ637" s="125"/>
      <c r="AK637" s="91"/>
      <c r="AL637" s="126"/>
      <c r="AM637" s="91"/>
      <c r="AN637" s="91"/>
      <c r="AO637" s="197">
        <f t="shared" si="39"/>
        <v>0</v>
      </c>
      <c r="AP637" s="126"/>
      <c r="AQ637" s="216"/>
      <c r="AR637" s="127"/>
      <c r="AS637" s="269"/>
      <c r="AT637" s="94"/>
      <c r="AU637" s="84"/>
      <c r="AV637" s="80"/>
      <c r="AW637" s="81"/>
      <c r="AX637" s="77"/>
      <c r="AY637" s="107"/>
      <c r="AZ637" s="220">
        <f t="shared" si="36"/>
        <v>0</v>
      </c>
      <c r="BA637" s="220">
        <f t="shared" si="37"/>
        <v>0</v>
      </c>
    </row>
    <row r="638" spans="1:53" ht="50.1" customHeight="1" x14ac:dyDescent="0.25">
      <c r="A638" s="17">
        <f t="shared" si="38"/>
        <v>624</v>
      </c>
      <c r="B638" s="229"/>
      <c r="C638" s="222"/>
      <c r="D638" s="112"/>
      <c r="E638" s="128"/>
      <c r="F638" s="129"/>
      <c r="G638" s="130"/>
      <c r="H638" s="131"/>
      <c r="I638" s="132"/>
      <c r="J638" s="108"/>
      <c r="K638" s="133"/>
      <c r="L638" s="134"/>
      <c r="M638" s="334"/>
      <c r="N638" s="343"/>
      <c r="O638" s="135"/>
      <c r="P638" s="82"/>
      <c r="Q638" s="135"/>
      <c r="R638" s="82"/>
      <c r="S638" s="299"/>
      <c r="T638" s="305"/>
      <c r="U638" s="298"/>
      <c r="V638" s="304"/>
      <c r="W638" s="249"/>
      <c r="X638" s="344"/>
      <c r="Y638" s="337"/>
      <c r="Z638" s="33"/>
      <c r="AA638" s="83"/>
      <c r="AB638" s="33"/>
      <c r="AC638" s="83"/>
      <c r="AD638" s="33"/>
      <c r="AE638" s="83"/>
      <c r="AF638" s="33"/>
      <c r="AG638" s="244"/>
      <c r="AH638" s="83"/>
      <c r="AI638" s="246"/>
      <c r="AJ638" s="102"/>
      <c r="AK638" s="92"/>
      <c r="AL638" s="91"/>
      <c r="AM638" s="92"/>
      <c r="AN638" s="351"/>
      <c r="AO638" s="197">
        <f t="shared" si="39"/>
        <v>0</v>
      </c>
      <c r="AP638" s="91"/>
      <c r="AQ638" s="217"/>
      <c r="AR638" s="103"/>
      <c r="AS638" s="264"/>
      <c r="AT638" s="94"/>
      <c r="AU638" s="84"/>
      <c r="AV638" s="136"/>
      <c r="AW638" s="77"/>
      <c r="AX638" s="137"/>
      <c r="AY638" s="138"/>
      <c r="AZ638" s="220">
        <f t="shared" si="36"/>
        <v>0</v>
      </c>
      <c r="BA638" s="220">
        <f t="shared" si="37"/>
        <v>0</v>
      </c>
    </row>
    <row r="639" spans="1:53" ht="50.1" customHeight="1" x14ac:dyDescent="0.25">
      <c r="A639" s="17">
        <f t="shared" si="38"/>
        <v>625</v>
      </c>
      <c r="B639" s="228"/>
      <c r="C639" s="221"/>
      <c r="D639" s="88"/>
      <c r="E639" s="100"/>
      <c r="F639" s="95"/>
      <c r="G639" s="114"/>
      <c r="H639" s="96"/>
      <c r="I639" s="97"/>
      <c r="J639" s="98"/>
      <c r="K639" s="101"/>
      <c r="L639" s="124"/>
      <c r="M639" s="333"/>
      <c r="N639" s="341"/>
      <c r="O639" s="82"/>
      <c r="P639" s="93"/>
      <c r="Q639" s="82"/>
      <c r="R639" s="93"/>
      <c r="S639" s="298"/>
      <c r="T639" s="304"/>
      <c r="U639" s="307"/>
      <c r="V639" s="309"/>
      <c r="W639" s="248"/>
      <c r="X639" s="342"/>
      <c r="Y639" s="336"/>
      <c r="Z639" s="123"/>
      <c r="AA639" s="33"/>
      <c r="AB639" s="123"/>
      <c r="AC639" s="33"/>
      <c r="AD639" s="123"/>
      <c r="AE639" s="33"/>
      <c r="AF639" s="123"/>
      <c r="AG639" s="243"/>
      <c r="AH639" s="33"/>
      <c r="AI639" s="245"/>
      <c r="AJ639" s="125"/>
      <c r="AK639" s="91"/>
      <c r="AL639" s="126"/>
      <c r="AM639" s="91"/>
      <c r="AN639" s="91"/>
      <c r="AO639" s="197">
        <f t="shared" si="39"/>
        <v>0</v>
      </c>
      <c r="AP639" s="126"/>
      <c r="AQ639" s="216"/>
      <c r="AR639" s="127"/>
      <c r="AS639" s="269"/>
      <c r="AT639" s="94"/>
      <c r="AU639" s="84"/>
      <c r="AV639" s="80"/>
      <c r="AW639" s="81"/>
      <c r="AX639" s="77"/>
      <c r="AY639" s="107"/>
      <c r="AZ639" s="220">
        <f t="shared" si="36"/>
        <v>0</v>
      </c>
      <c r="BA639" s="220">
        <f t="shared" si="37"/>
        <v>0</v>
      </c>
    </row>
    <row r="640" spans="1:53" ht="50.1" customHeight="1" x14ac:dyDescent="0.25">
      <c r="A640" s="17">
        <f t="shared" si="38"/>
        <v>626</v>
      </c>
      <c r="B640" s="229"/>
      <c r="C640" s="222"/>
      <c r="D640" s="112"/>
      <c r="E640" s="128"/>
      <c r="F640" s="129"/>
      <c r="G640" s="130"/>
      <c r="H640" s="131"/>
      <c r="I640" s="132"/>
      <c r="J640" s="108"/>
      <c r="K640" s="133"/>
      <c r="L640" s="134"/>
      <c r="M640" s="334"/>
      <c r="N640" s="343"/>
      <c r="O640" s="135"/>
      <c r="P640" s="82"/>
      <c r="Q640" s="135"/>
      <c r="R640" s="82"/>
      <c r="S640" s="299"/>
      <c r="T640" s="305"/>
      <c r="U640" s="298"/>
      <c r="V640" s="304"/>
      <c r="W640" s="249"/>
      <c r="X640" s="344"/>
      <c r="Y640" s="337"/>
      <c r="Z640" s="33"/>
      <c r="AA640" s="83"/>
      <c r="AB640" s="33"/>
      <c r="AC640" s="83"/>
      <c r="AD640" s="33"/>
      <c r="AE640" s="83"/>
      <c r="AF640" s="33"/>
      <c r="AG640" s="244"/>
      <c r="AH640" s="83"/>
      <c r="AI640" s="246"/>
      <c r="AJ640" s="102"/>
      <c r="AK640" s="92"/>
      <c r="AL640" s="91"/>
      <c r="AM640" s="92"/>
      <c r="AN640" s="351"/>
      <c r="AO640" s="197">
        <f t="shared" si="39"/>
        <v>0</v>
      </c>
      <c r="AP640" s="91"/>
      <c r="AQ640" s="217"/>
      <c r="AR640" s="103"/>
      <c r="AS640" s="264"/>
      <c r="AT640" s="94"/>
      <c r="AU640" s="84"/>
      <c r="AV640" s="136"/>
      <c r="AW640" s="77"/>
      <c r="AX640" s="137"/>
      <c r="AY640" s="138"/>
      <c r="AZ640" s="220">
        <f t="shared" si="36"/>
        <v>0</v>
      </c>
      <c r="BA640" s="220">
        <f t="shared" si="37"/>
        <v>0</v>
      </c>
    </row>
    <row r="641" spans="1:53" ht="50.1" customHeight="1" x14ac:dyDescent="0.25">
      <c r="A641" s="17">
        <f t="shared" si="38"/>
        <v>627</v>
      </c>
      <c r="B641" s="228"/>
      <c r="C641" s="221"/>
      <c r="D641" s="88"/>
      <c r="E641" s="100"/>
      <c r="F641" s="95"/>
      <c r="G641" s="114"/>
      <c r="H641" s="96"/>
      <c r="I641" s="97"/>
      <c r="J641" s="98"/>
      <c r="K641" s="101"/>
      <c r="L641" s="124"/>
      <c r="M641" s="333"/>
      <c r="N641" s="341"/>
      <c r="O641" s="82"/>
      <c r="P641" s="93"/>
      <c r="Q641" s="82"/>
      <c r="R641" s="93"/>
      <c r="S641" s="298"/>
      <c r="T641" s="304"/>
      <c r="U641" s="307"/>
      <c r="V641" s="309"/>
      <c r="W641" s="248"/>
      <c r="X641" s="342"/>
      <c r="Y641" s="336"/>
      <c r="Z641" s="123"/>
      <c r="AA641" s="33"/>
      <c r="AB641" s="123"/>
      <c r="AC641" s="33"/>
      <c r="AD641" s="123"/>
      <c r="AE641" s="33"/>
      <c r="AF641" s="123"/>
      <c r="AG641" s="243"/>
      <c r="AH641" s="33"/>
      <c r="AI641" s="245"/>
      <c r="AJ641" s="125"/>
      <c r="AK641" s="91"/>
      <c r="AL641" s="126"/>
      <c r="AM641" s="91"/>
      <c r="AN641" s="91"/>
      <c r="AO641" s="197">
        <f t="shared" si="39"/>
        <v>0</v>
      </c>
      <c r="AP641" s="126"/>
      <c r="AQ641" s="216"/>
      <c r="AR641" s="127"/>
      <c r="AS641" s="269"/>
      <c r="AT641" s="94"/>
      <c r="AU641" s="84"/>
      <c r="AV641" s="80"/>
      <c r="AW641" s="81"/>
      <c r="AX641" s="77"/>
      <c r="AY641" s="107"/>
      <c r="AZ641" s="220">
        <f t="shared" si="36"/>
        <v>0</v>
      </c>
      <c r="BA641" s="220">
        <f t="shared" si="37"/>
        <v>0</v>
      </c>
    </row>
    <row r="642" spans="1:53" ht="50.1" customHeight="1" x14ac:dyDescent="0.25">
      <c r="A642" s="17">
        <f t="shared" si="38"/>
        <v>628</v>
      </c>
      <c r="B642" s="229"/>
      <c r="C642" s="222"/>
      <c r="D642" s="112"/>
      <c r="E642" s="128"/>
      <c r="F642" s="129"/>
      <c r="G642" s="130"/>
      <c r="H642" s="131"/>
      <c r="I642" s="132"/>
      <c r="J642" s="108"/>
      <c r="K642" s="133"/>
      <c r="L642" s="134"/>
      <c r="M642" s="334"/>
      <c r="N642" s="343"/>
      <c r="O642" s="135"/>
      <c r="P642" s="82"/>
      <c r="Q642" s="135"/>
      <c r="R642" s="82"/>
      <c r="S642" s="299"/>
      <c r="T642" s="305"/>
      <c r="U642" s="298"/>
      <c r="V642" s="304"/>
      <c r="W642" s="249"/>
      <c r="X642" s="344"/>
      <c r="Y642" s="337"/>
      <c r="Z642" s="33"/>
      <c r="AA642" s="83"/>
      <c r="AB642" s="33"/>
      <c r="AC642" s="83"/>
      <c r="AD642" s="33"/>
      <c r="AE642" s="83"/>
      <c r="AF642" s="33"/>
      <c r="AG642" s="244"/>
      <c r="AH642" s="83"/>
      <c r="AI642" s="246"/>
      <c r="AJ642" s="102"/>
      <c r="AK642" s="92"/>
      <c r="AL642" s="91"/>
      <c r="AM642" s="92"/>
      <c r="AN642" s="351"/>
      <c r="AO642" s="197">
        <f t="shared" si="39"/>
        <v>0</v>
      </c>
      <c r="AP642" s="91"/>
      <c r="AQ642" s="217"/>
      <c r="AR642" s="103"/>
      <c r="AS642" s="264"/>
      <c r="AT642" s="94"/>
      <c r="AU642" s="84"/>
      <c r="AV642" s="136"/>
      <c r="AW642" s="77"/>
      <c r="AX642" s="137"/>
      <c r="AY642" s="138"/>
      <c r="AZ642" s="220">
        <f t="shared" si="36"/>
        <v>0</v>
      </c>
      <c r="BA642" s="220">
        <f t="shared" si="37"/>
        <v>0</v>
      </c>
    </row>
    <row r="643" spans="1:53" ht="50.1" customHeight="1" x14ac:dyDescent="0.25">
      <c r="A643" s="17">
        <f t="shared" si="38"/>
        <v>629</v>
      </c>
      <c r="B643" s="228"/>
      <c r="C643" s="221"/>
      <c r="D643" s="88"/>
      <c r="E643" s="100"/>
      <c r="F643" s="95"/>
      <c r="G643" s="114"/>
      <c r="H643" s="96"/>
      <c r="I643" s="97"/>
      <c r="J643" s="98"/>
      <c r="K643" s="101"/>
      <c r="L643" s="124"/>
      <c r="M643" s="333"/>
      <c r="N643" s="341"/>
      <c r="O643" s="82"/>
      <c r="P643" s="93"/>
      <c r="Q643" s="82"/>
      <c r="R643" s="93"/>
      <c r="S643" s="298"/>
      <c r="T643" s="304"/>
      <c r="U643" s="307"/>
      <c r="V643" s="309"/>
      <c r="W643" s="248"/>
      <c r="X643" s="342"/>
      <c r="Y643" s="336"/>
      <c r="Z643" s="123"/>
      <c r="AA643" s="33"/>
      <c r="AB643" s="123"/>
      <c r="AC643" s="33"/>
      <c r="AD643" s="123"/>
      <c r="AE643" s="33"/>
      <c r="AF643" s="123"/>
      <c r="AG643" s="243"/>
      <c r="AH643" s="33"/>
      <c r="AI643" s="245"/>
      <c r="AJ643" s="125"/>
      <c r="AK643" s="91"/>
      <c r="AL643" s="126"/>
      <c r="AM643" s="91"/>
      <c r="AN643" s="91"/>
      <c r="AO643" s="197">
        <f t="shared" si="39"/>
        <v>0</v>
      </c>
      <c r="AP643" s="126"/>
      <c r="AQ643" s="216"/>
      <c r="AR643" s="127"/>
      <c r="AS643" s="269"/>
      <c r="AT643" s="94"/>
      <c r="AU643" s="84"/>
      <c r="AV643" s="80"/>
      <c r="AW643" s="81"/>
      <c r="AX643" s="77"/>
      <c r="AY643" s="107"/>
      <c r="AZ643" s="220">
        <f t="shared" si="36"/>
        <v>0</v>
      </c>
      <c r="BA643" s="220">
        <f t="shared" si="37"/>
        <v>0</v>
      </c>
    </row>
    <row r="644" spans="1:53" ht="50.1" customHeight="1" x14ac:dyDescent="0.25">
      <c r="A644" s="17">
        <f t="shared" si="38"/>
        <v>630</v>
      </c>
      <c r="B644" s="229"/>
      <c r="C644" s="222"/>
      <c r="D644" s="112"/>
      <c r="E644" s="128"/>
      <c r="F644" s="129"/>
      <c r="G644" s="130"/>
      <c r="H644" s="131"/>
      <c r="I644" s="132"/>
      <c r="J644" s="108"/>
      <c r="K644" s="133"/>
      <c r="L644" s="134"/>
      <c r="M644" s="334"/>
      <c r="N644" s="343"/>
      <c r="O644" s="135"/>
      <c r="P644" s="82"/>
      <c r="Q644" s="135"/>
      <c r="R644" s="82"/>
      <c r="S644" s="299"/>
      <c r="T644" s="305"/>
      <c r="U644" s="298"/>
      <c r="V644" s="304"/>
      <c r="W644" s="249"/>
      <c r="X644" s="344"/>
      <c r="Y644" s="337"/>
      <c r="Z644" s="33"/>
      <c r="AA644" s="83"/>
      <c r="AB644" s="33"/>
      <c r="AC644" s="83"/>
      <c r="AD644" s="33"/>
      <c r="AE644" s="83"/>
      <c r="AF644" s="33"/>
      <c r="AG644" s="244"/>
      <c r="AH644" s="83"/>
      <c r="AI644" s="246"/>
      <c r="AJ644" s="102"/>
      <c r="AK644" s="92"/>
      <c r="AL644" s="91"/>
      <c r="AM644" s="92"/>
      <c r="AN644" s="351"/>
      <c r="AO644" s="197">
        <f t="shared" si="39"/>
        <v>0</v>
      </c>
      <c r="AP644" s="91"/>
      <c r="AQ644" s="217"/>
      <c r="AR644" s="103"/>
      <c r="AS644" s="264"/>
      <c r="AT644" s="94"/>
      <c r="AU644" s="84"/>
      <c r="AV644" s="136"/>
      <c r="AW644" s="77"/>
      <c r="AX644" s="137"/>
      <c r="AY644" s="138"/>
      <c r="AZ644" s="220">
        <f t="shared" si="36"/>
        <v>0</v>
      </c>
      <c r="BA644" s="220">
        <f t="shared" si="37"/>
        <v>0</v>
      </c>
    </row>
    <row r="645" spans="1:53" ht="50.1" customHeight="1" x14ac:dyDescent="0.25">
      <c r="A645" s="17">
        <f t="shared" si="38"/>
        <v>631</v>
      </c>
      <c r="B645" s="228"/>
      <c r="C645" s="221"/>
      <c r="D645" s="88"/>
      <c r="E645" s="100"/>
      <c r="F645" s="95"/>
      <c r="G645" s="114"/>
      <c r="H645" s="96"/>
      <c r="I645" s="97"/>
      <c r="J645" s="98"/>
      <c r="K645" s="101"/>
      <c r="L645" s="124"/>
      <c r="M645" s="333"/>
      <c r="N645" s="341"/>
      <c r="O645" s="82"/>
      <c r="P645" s="93"/>
      <c r="Q645" s="82"/>
      <c r="R645" s="93"/>
      <c r="S645" s="298"/>
      <c r="T645" s="304"/>
      <c r="U645" s="307"/>
      <c r="V645" s="309"/>
      <c r="W645" s="248"/>
      <c r="X645" s="342"/>
      <c r="Y645" s="336"/>
      <c r="Z645" s="123"/>
      <c r="AA645" s="33"/>
      <c r="AB645" s="123"/>
      <c r="AC645" s="33"/>
      <c r="AD645" s="123"/>
      <c r="AE645" s="33"/>
      <c r="AF645" s="123"/>
      <c r="AG645" s="243"/>
      <c r="AH645" s="33"/>
      <c r="AI645" s="245"/>
      <c r="AJ645" s="125"/>
      <c r="AK645" s="91"/>
      <c r="AL645" s="126"/>
      <c r="AM645" s="91"/>
      <c r="AN645" s="91"/>
      <c r="AO645" s="197">
        <f t="shared" si="39"/>
        <v>0</v>
      </c>
      <c r="AP645" s="126"/>
      <c r="AQ645" s="216"/>
      <c r="AR645" s="127"/>
      <c r="AS645" s="269"/>
      <c r="AT645" s="94"/>
      <c r="AU645" s="84"/>
      <c r="AV645" s="80"/>
      <c r="AW645" s="81"/>
      <c r="AX645" s="77"/>
      <c r="AY645" s="107"/>
      <c r="AZ645" s="220">
        <f t="shared" si="36"/>
        <v>0</v>
      </c>
      <c r="BA645" s="220">
        <f t="shared" si="37"/>
        <v>0</v>
      </c>
    </row>
    <row r="646" spans="1:53" ht="50.1" customHeight="1" x14ac:dyDescent="0.25">
      <c r="A646" s="17">
        <f t="shared" si="38"/>
        <v>632</v>
      </c>
      <c r="B646" s="229"/>
      <c r="C646" s="222"/>
      <c r="D646" s="112"/>
      <c r="E646" s="128"/>
      <c r="F646" s="129"/>
      <c r="G646" s="130"/>
      <c r="H646" s="131"/>
      <c r="I646" s="132"/>
      <c r="J646" s="108"/>
      <c r="K646" s="133"/>
      <c r="L646" s="134"/>
      <c r="M646" s="334"/>
      <c r="N646" s="343"/>
      <c r="O646" s="135"/>
      <c r="P646" s="82"/>
      <c r="Q646" s="135"/>
      <c r="R646" s="82"/>
      <c r="S646" s="299"/>
      <c r="T646" s="305"/>
      <c r="U646" s="298"/>
      <c r="V646" s="304"/>
      <c r="W646" s="249"/>
      <c r="X646" s="344"/>
      <c r="Y646" s="337"/>
      <c r="Z646" s="33"/>
      <c r="AA646" s="83"/>
      <c r="AB646" s="33"/>
      <c r="AC646" s="83"/>
      <c r="AD646" s="33"/>
      <c r="AE646" s="83"/>
      <c r="AF646" s="33"/>
      <c r="AG646" s="244"/>
      <c r="AH646" s="83"/>
      <c r="AI646" s="246"/>
      <c r="AJ646" s="102"/>
      <c r="AK646" s="92"/>
      <c r="AL646" s="91"/>
      <c r="AM646" s="92"/>
      <c r="AN646" s="351"/>
      <c r="AO646" s="197">
        <f t="shared" si="39"/>
        <v>0</v>
      </c>
      <c r="AP646" s="91"/>
      <c r="AQ646" s="217"/>
      <c r="AR646" s="103"/>
      <c r="AS646" s="264"/>
      <c r="AT646" s="94"/>
      <c r="AU646" s="84"/>
      <c r="AV646" s="136"/>
      <c r="AW646" s="77"/>
      <c r="AX646" s="137"/>
      <c r="AY646" s="138"/>
      <c r="AZ646" s="220">
        <f t="shared" si="36"/>
        <v>0</v>
      </c>
      <c r="BA646" s="220">
        <f t="shared" si="37"/>
        <v>0</v>
      </c>
    </row>
    <row r="647" spans="1:53" ht="50.1" customHeight="1" x14ac:dyDescent="0.25">
      <c r="A647" s="17">
        <f t="shared" si="38"/>
        <v>633</v>
      </c>
      <c r="B647" s="228"/>
      <c r="C647" s="221"/>
      <c r="D647" s="88"/>
      <c r="E647" s="100"/>
      <c r="F647" s="95"/>
      <c r="G647" s="114"/>
      <c r="H647" s="96"/>
      <c r="I647" s="97"/>
      <c r="J647" s="98"/>
      <c r="K647" s="101"/>
      <c r="L647" s="124"/>
      <c r="M647" s="333"/>
      <c r="N647" s="341"/>
      <c r="O647" s="82"/>
      <c r="P647" s="93"/>
      <c r="Q647" s="82"/>
      <c r="R647" s="93"/>
      <c r="S647" s="298"/>
      <c r="T647" s="304"/>
      <c r="U647" s="307"/>
      <c r="V647" s="309"/>
      <c r="W647" s="248"/>
      <c r="X647" s="342"/>
      <c r="Y647" s="336"/>
      <c r="Z647" s="123"/>
      <c r="AA647" s="33"/>
      <c r="AB647" s="123"/>
      <c r="AC647" s="33"/>
      <c r="AD647" s="123"/>
      <c r="AE647" s="33"/>
      <c r="AF647" s="123"/>
      <c r="AG647" s="243"/>
      <c r="AH647" s="33"/>
      <c r="AI647" s="245"/>
      <c r="AJ647" s="125"/>
      <c r="AK647" s="91"/>
      <c r="AL647" s="126"/>
      <c r="AM647" s="91"/>
      <c r="AN647" s="91"/>
      <c r="AO647" s="197">
        <f t="shared" si="39"/>
        <v>0</v>
      </c>
      <c r="AP647" s="126"/>
      <c r="AQ647" s="216"/>
      <c r="AR647" s="127"/>
      <c r="AS647" s="269"/>
      <c r="AT647" s="94"/>
      <c r="AU647" s="84"/>
      <c r="AV647" s="80"/>
      <c r="AW647" s="81"/>
      <c r="AX647" s="77"/>
      <c r="AY647" s="107"/>
      <c r="AZ647" s="220">
        <f t="shared" si="36"/>
        <v>0</v>
      </c>
      <c r="BA647" s="220">
        <f t="shared" si="37"/>
        <v>0</v>
      </c>
    </row>
    <row r="648" spans="1:53" ht="50.1" customHeight="1" x14ac:dyDescent="0.25">
      <c r="A648" s="17">
        <f t="shared" si="38"/>
        <v>634</v>
      </c>
      <c r="B648" s="229"/>
      <c r="C648" s="222"/>
      <c r="D648" s="112"/>
      <c r="E648" s="128"/>
      <c r="F648" s="129"/>
      <c r="G648" s="130"/>
      <c r="H648" s="131"/>
      <c r="I648" s="132"/>
      <c r="J648" s="108"/>
      <c r="K648" s="133"/>
      <c r="L648" s="134"/>
      <c r="M648" s="334"/>
      <c r="N648" s="343"/>
      <c r="O648" s="135"/>
      <c r="P648" s="82"/>
      <c r="Q648" s="135"/>
      <c r="R648" s="82"/>
      <c r="S648" s="299"/>
      <c r="T648" s="305"/>
      <c r="U648" s="298"/>
      <c r="V648" s="304"/>
      <c r="W648" s="249"/>
      <c r="X648" s="344"/>
      <c r="Y648" s="337"/>
      <c r="Z648" s="33"/>
      <c r="AA648" s="83"/>
      <c r="AB648" s="33"/>
      <c r="AC648" s="83"/>
      <c r="AD648" s="33"/>
      <c r="AE648" s="83"/>
      <c r="AF648" s="33"/>
      <c r="AG648" s="244"/>
      <c r="AH648" s="83"/>
      <c r="AI648" s="246"/>
      <c r="AJ648" s="102"/>
      <c r="AK648" s="92"/>
      <c r="AL648" s="91"/>
      <c r="AM648" s="92"/>
      <c r="AN648" s="351"/>
      <c r="AO648" s="197">
        <f t="shared" si="39"/>
        <v>0</v>
      </c>
      <c r="AP648" s="91"/>
      <c r="AQ648" s="217"/>
      <c r="AR648" s="103"/>
      <c r="AS648" s="264"/>
      <c r="AT648" s="94"/>
      <c r="AU648" s="84"/>
      <c r="AV648" s="136"/>
      <c r="AW648" s="77"/>
      <c r="AX648" s="137"/>
      <c r="AY648" s="138"/>
      <c r="AZ648" s="220">
        <f t="shared" si="36"/>
        <v>0</v>
      </c>
      <c r="BA648" s="220">
        <f t="shared" si="37"/>
        <v>0</v>
      </c>
    </row>
    <row r="649" spans="1:53" ht="50.1" customHeight="1" x14ac:dyDescent="0.25">
      <c r="A649" s="17">
        <f t="shared" si="38"/>
        <v>635</v>
      </c>
      <c r="B649" s="228"/>
      <c r="C649" s="221"/>
      <c r="D649" s="88"/>
      <c r="E649" s="100"/>
      <c r="F649" s="95"/>
      <c r="G649" s="114"/>
      <c r="H649" s="96"/>
      <c r="I649" s="97"/>
      <c r="J649" s="98"/>
      <c r="K649" s="101"/>
      <c r="L649" s="124"/>
      <c r="M649" s="333"/>
      <c r="N649" s="341"/>
      <c r="O649" s="82"/>
      <c r="P649" s="93"/>
      <c r="Q649" s="82"/>
      <c r="R649" s="93"/>
      <c r="S649" s="298"/>
      <c r="T649" s="304"/>
      <c r="U649" s="307"/>
      <c r="V649" s="309"/>
      <c r="W649" s="248"/>
      <c r="X649" s="342"/>
      <c r="Y649" s="336"/>
      <c r="Z649" s="123"/>
      <c r="AA649" s="33"/>
      <c r="AB649" s="123"/>
      <c r="AC649" s="33"/>
      <c r="AD649" s="123"/>
      <c r="AE649" s="33"/>
      <c r="AF649" s="123"/>
      <c r="AG649" s="243"/>
      <c r="AH649" s="33"/>
      <c r="AI649" s="245"/>
      <c r="AJ649" s="125"/>
      <c r="AK649" s="91"/>
      <c r="AL649" s="126"/>
      <c r="AM649" s="91"/>
      <c r="AN649" s="91"/>
      <c r="AO649" s="197">
        <f t="shared" si="39"/>
        <v>0</v>
      </c>
      <c r="AP649" s="126"/>
      <c r="AQ649" s="216"/>
      <c r="AR649" s="127"/>
      <c r="AS649" s="269"/>
      <c r="AT649" s="94"/>
      <c r="AU649" s="84"/>
      <c r="AV649" s="80"/>
      <c r="AW649" s="81"/>
      <c r="AX649" s="77"/>
      <c r="AY649" s="107"/>
      <c r="AZ649" s="220">
        <f t="shared" si="36"/>
        <v>0</v>
      </c>
      <c r="BA649" s="220">
        <f t="shared" si="37"/>
        <v>0</v>
      </c>
    </row>
    <row r="650" spans="1:53" ht="50.1" customHeight="1" x14ac:dyDescent="0.25">
      <c r="A650" s="17">
        <f t="shared" si="38"/>
        <v>636</v>
      </c>
      <c r="B650" s="229"/>
      <c r="C650" s="222"/>
      <c r="D650" s="112"/>
      <c r="E650" s="128"/>
      <c r="F650" s="129"/>
      <c r="G650" s="130"/>
      <c r="H650" s="131"/>
      <c r="I650" s="132"/>
      <c r="J650" s="108"/>
      <c r="K650" s="133"/>
      <c r="L650" s="134"/>
      <c r="M650" s="334"/>
      <c r="N650" s="343"/>
      <c r="O650" s="135"/>
      <c r="P650" s="82"/>
      <c r="Q650" s="135"/>
      <c r="R650" s="82"/>
      <c r="S650" s="299"/>
      <c r="T650" s="305"/>
      <c r="U650" s="298"/>
      <c r="V650" s="304"/>
      <c r="W650" s="249"/>
      <c r="X650" s="344"/>
      <c r="Y650" s="337"/>
      <c r="Z650" s="33"/>
      <c r="AA650" s="83"/>
      <c r="AB650" s="33"/>
      <c r="AC650" s="83"/>
      <c r="AD650" s="33"/>
      <c r="AE650" s="83"/>
      <c r="AF650" s="33"/>
      <c r="AG650" s="244"/>
      <c r="AH650" s="83"/>
      <c r="AI650" s="246"/>
      <c r="AJ650" s="102"/>
      <c r="AK650" s="92"/>
      <c r="AL650" s="91"/>
      <c r="AM650" s="92"/>
      <c r="AN650" s="351"/>
      <c r="AO650" s="197">
        <f t="shared" si="39"/>
        <v>0</v>
      </c>
      <c r="AP650" s="91"/>
      <c r="AQ650" s="217"/>
      <c r="AR650" s="103"/>
      <c r="AS650" s="264"/>
      <c r="AT650" s="94"/>
      <c r="AU650" s="84"/>
      <c r="AV650" s="136"/>
      <c r="AW650" s="77"/>
      <c r="AX650" s="137"/>
      <c r="AY650" s="138"/>
      <c r="AZ650" s="220">
        <f t="shared" si="36"/>
        <v>0</v>
      </c>
      <c r="BA650" s="220">
        <f t="shared" si="37"/>
        <v>0</v>
      </c>
    </row>
    <row r="651" spans="1:53" ht="50.1" customHeight="1" x14ac:dyDescent="0.25">
      <c r="A651" s="17">
        <f t="shared" si="38"/>
        <v>637</v>
      </c>
      <c r="B651" s="228"/>
      <c r="C651" s="221"/>
      <c r="D651" s="88"/>
      <c r="E651" s="100"/>
      <c r="F651" s="95"/>
      <c r="G651" s="114"/>
      <c r="H651" s="96"/>
      <c r="I651" s="97"/>
      <c r="J651" s="98"/>
      <c r="K651" s="101"/>
      <c r="L651" s="124"/>
      <c r="M651" s="333"/>
      <c r="N651" s="341"/>
      <c r="O651" s="82"/>
      <c r="P651" s="93"/>
      <c r="Q651" s="82"/>
      <c r="R651" s="93"/>
      <c r="S651" s="298"/>
      <c r="T651" s="304"/>
      <c r="U651" s="307"/>
      <c r="V651" s="309"/>
      <c r="W651" s="248"/>
      <c r="X651" s="342"/>
      <c r="Y651" s="336"/>
      <c r="Z651" s="123"/>
      <c r="AA651" s="33"/>
      <c r="AB651" s="123"/>
      <c r="AC651" s="33"/>
      <c r="AD651" s="123"/>
      <c r="AE651" s="33"/>
      <c r="AF651" s="123"/>
      <c r="AG651" s="243"/>
      <c r="AH651" s="33"/>
      <c r="AI651" s="245"/>
      <c r="AJ651" s="125"/>
      <c r="AK651" s="91"/>
      <c r="AL651" s="126"/>
      <c r="AM651" s="91"/>
      <c r="AN651" s="91"/>
      <c r="AO651" s="197">
        <f t="shared" si="39"/>
        <v>0</v>
      </c>
      <c r="AP651" s="126"/>
      <c r="AQ651" s="216"/>
      <c r="AR651" s="127"/>
      <c r="AS651" s="269"/>
      <c r="AT651" s="94"/>
      <c r="AU651" s="84"/>
      <c r="AV651" s="80"/>
      <c r="AW651" s="81"/>
      <c r="AX651" s="77"/>
      <c r="AY651" s="107"/>
      <c r="AZ651" s="220">
        <f t="shared" si="36"/>
        <v>0</v>
      </c>
      <c r="BA651" s="220">
        <f t="shared" si="37"/>
        <v>0</v>
      </c>
    </row>
    <row r="652" spans="1:53" ht="50.1" customHeight="1" x14ac:dyDescent="0.25">
      <c r="A652" s="17">
        <f t="shared" si="38"/>
        <v>638</v>
      </c>
      <c r="B652" s="229"/>
      <c r="C652" s="222"/>
      <c r="D652" s="112"/>
      <c r="E652" s="128"/>
      <c r="F652" s="129"/>
      <c r="G652" s="130"/>
      <c r="H652" s="131"/>
      <c r="I652" s="132"/>
      <c r="J652" s="108"/>
      <c r="K652" s="133"/>
      <c r="L652" s="134"/>
      <c r="M652" s="334"/>
      <c r="N652" s="343"/>
      <c r="O652" s="135"/>
      <c r="P652" s="82"/>
      <c r="Q652" s="135"/>
      <c r="R652" s="82"/>
      <c r="S652" s="299"/>
      <c r="T652" s="305"/>
      <c r="U652" s="298"/>
      <c r="V652" s="304"/>
      <c r="W652" s="249"/>
      <c r="X652" s="344"/>
      <c r="Y652" s="337"/>
      <c r="Z652" s="33"/>
      <c r="AA652" s="83"/>
      <c r="AB652" s="33"/>
      <c r="AC652" s="83"/>
      <c r="AD652" s="33"/>
      <c r="AE652" s="83"/>
      <c r="AF652" s="33"/>
      <c r="AG652" s="244"/>
      <c r="AH652" s="83"/>
      <c r="AI652" s="246"/>
      <c r="AJ652" s="102"/>
      <c r="AK652" s="92"/>
      <c r="AL652" s="91"/>
      <c r="AM652" s="92"/>
      <c r="AN652" s="351"/>
      <c r="AO652" s="197">
        <f t="shared" si="39"/>
        <v>0</v>
      </c>
      <c r="AP652" s="91"/>
      <c r="AQ652" s="217"/>
      <c r="AR652" s="103"/>
      <c r="AS652" s="264"/>
      <c r="AT652" s="94"/>
      <c r="AU652" s="84"/>
      <c r="AV652" s="136"/>
      <c r="AW652" s="77"/>
      <c r="AX652" s="137"/>
      <c r="AY652" s="138"/>
      <c r="AZ652" s="220">
        <f t="shared" si="36"/>
        <v>0</v>
      </c>
      <c r="BA652" s="220">
        <f t="shared" si="37"/>
        <v>0</v>
      </c>
    </row>
    <row r="653" spans="1:53" ht="50.1" customHeight="1" x14ac:dyDescent="0.25">
      <c r="A653" s="17">
        <f t="shared" si="38"/>
        <v>639</v>
      </c>
      <c r="B653" s="228"/>
      <c r="C653" s="221"/>
      <c r="D653" s="88"/>
      <c r="E653" s="100"/>
      <c r="F653" s="95"/>
      <c r="G653" s="114"/>
      <c r="H653" s="96"/>
      <c r="I653" s="97"/>
      <c r="J653" s="98"/>
      <c r="K653" s="101"/>
      <c r="L653" s="124"/>
      <c r="M653" s="333"/>
      <c r="N653" s="341"/>
      <c r="O653" s="82"/>
      <c r="P653" s="93"/>
      <c r="Q653" s="82"/>
      <c r="R653" s="93"/>
      <c r="S653" s="298"/>
      <c r="T653" s="304"/>
      <c r="U653" s="307"/>
      <c r="V653" s="309"/>
      <c r="W653" s="248"/>
      <c r="X653" s="342"/>
      <c r="Y653" s="336"/>
      <c r="Z653" s="123"/>
      <c r="AA653" s="33"/>
      <c r="AB653" s="123"/>
      <c r="AC653" s="33"/>
      <c r="AD653" s="123"/>
      <c r="AE653" s="33"/>
      <c r="AF653" s="123"/>
      <c r="AG653" s="243"/>
      <c r="AH653" s="33"/>
      <c r="AI653" s="245"/>
      <c r="AJ653" s="125"/>
      <c r="AK653" s="91"/>
      <c r="AL653" s="126"/>
      <c r="AM653" s="91"/>
      <c r="AN653" s="91"/>
      <c r="AO653" s="197">
        <f t="shared" si="39"/>
        <v>0</v>
      </c>
      <c r="AP653" s="126"/>
      <c r="AQ653" s="216"/>
      <c r="AR653" s="127"/>
      <c r="AS653" s="269"/>
      <c r="AT653" s="94"/>
      <c r="AU653" s="84"/>
      <c r="AV653" s="80"/>
      <c r="AW653" s="81"/>
      <c r="AX653" s="77"/>
      <c r="AY653" s="107"/>
      <c r="AZ653" s="220">
        <f t="shared" si="36"/>
        <v>0</v>
      </c>
      <c r="BA653" s="220">
        <f t="shared" si="37"/>
        <v>0</v>
      </c>
    </row>
    <row r="654" spans="1:53" ht="50.1" customHeight="1" x14ac:dyDescent="0.25">
      <c r="A654" s="17">
        <f t="shared" si="38"/>
        <v>640</v>
      </c>
      <c r="B654" s="229"/>
      <c r="C654" s="222"/>
      <c r="D654" s="112"/>
      <c r="E654" s="128"/>
      <c r="F654" s="129"/>
      <c r="G654" s="130"/>
      <c r="H654" s="131"/>
      <c r="I654" s="132"/>
      <c r="J654" s="108"/>
      <c r="K654" s="133"/>
      <c r="L654" s="134"/>
      <c r="M654" s="334"/>
      <c r="N654" s="343"/>
      <c r="O654" s="135"/>
      <c r="P654" s="82"/>
      <c r="Q654" s="135"/>
      <c r="R654" s="82"/>
      <c r="S654" s="299"/>
      <c r="T654" s="305"/>
      <c r="U654" s="298"/>
      <c r="V654" s="304"/>
      <c r="W654" s="249"/>
      <c r="X654" s="344"/>
      <c r="Y654" s="337"/>
      <c r="Z654" s="33"/>
      <c r="AA654" s="83"/>
      <c r="AB654" s="33"/>
      <c r="AC654" s="83"/>
      <c r="AD654" s="33"/>
      <c r="AE654" s="83"/>
      <c r="AF654" s="33"/>
      <c r="AG654" s="244"/>
      <c r="AH654" s="83"/>
      <c r="AI654" s="246"/>
      <c r="AJ654" s="102"/>
      <c r="AK654" s="92"/>
      <c r="AL654" s="91"/>
      <c r="AM654" s="92"/>
      <c r="AN654" s="351"/>
      <c r="AO654" s="197">
        <f t="shared" si="39"/>
        <v>0</v>
      </c>
      <c r="AP654" s="91"/>
      <c r="AQ654" s="217"/>
      <c r="AR654" s="103"/>
      <c r="AS654" s="264"/>
      <c r="AT654" s="94"/>
      <c r="AU654" s="84"/>
      <c r="AV654" s="136"/>
      <c r="AW654" s="77"/>
      <c r="AX654" s="137"/>
      <c r="AY654" s="138"/>
      <c r="AZ654" s="220">
        <f t="shared" si="36"/>
        <v>0</v>
      </c>
      <c r="BA654" s="220">
        <f t="shared" si="37"/>
        <v>0</v>
      </c>
    </row>
    <row r="655" spans="1:53" ht="50.1" customHeight="1" x14ac:dyDescent="0.25">
      <c r="A655" s="17">
        <f t="shared" si="38"/>
        <v>641</v>
      </c>
      <c r="B655" s="228"/>
      <c r="C655" s="221"/>
      <c r="D655" s="88"/>
      <c r="E655" s="100"/>
      <c r="F655" s="95"/>
      <c r="G655" s="114"/>
      <c r="H655" s="96"/>
      <c r="I655" s="97"/>
      <c r="J655" s="98"/>
      <c r="K655" s="101"/>
      <c r="L655" s="124"/>
      <c r="M655" s="333"/>
      <c r="N655" s="341"/>
      <c r="O655" s="82"/>
      <c r="P655" s="93"/>
      <c r="Q655" s="82"/>
      <c r="R655" s="93"/>
      <c r="S655" s="298"/>
      <c r="T655" s="304"/>
      <c r="U655" s="307"/>
      <c r="V655" s="309"/>
      <c r="W655" s="248"/>
      <c r="X655" s="342"/>
      <c r="Y655" s="336"/>
      <c r="Z655" s="123"/>
      <c r="AA655" s="33"/>
      <c r="AB655" s="123"/>
      <c r="AC655" s="33"/>
      <c r="AD655" s="123"/>
      <c r="AE655" s="33"/>
      <c r="AF655" s="123"/>
      <c r="AG655" s="243"/>
      <c r="AH655" s="33"/>
      <c r="AI655" s="245"/>
      <c r="AJ655" s="125"/>
      <c r="AK655" s="91"/>
      <c r="AL655" s="126"/>
      <c r="AM655" s="91"/>
      <c r="AN655" s="91"/>
      <c r="AO655" s="197">
        <f t="shared" si="39"/>
        <v>0</v>
      </c>
      <c r="AP655" s="126"/>
      <c r="AQ655" s="216"/>
      <c r="AR655" s="127"/>
      <c r="AS655" s="269"/>
      <c r="AT655" s="94"/>
      <c r="AU655" s="84"/>
      <c r="AV655" s="80"/>
      <c r="AW655" s="81"/>
      <c r="AX655" s="77"/>
      <c r="AY655" s="107"/>
      <c r="AZ655" s="220">
        <f t="shared" ref="AZ655:AZ718" si="40">M655-B655</f>
        <v>0</v>
      </c>
      <c r="BA655" s="220">
        <f t="shared" ref="BA655:BA718" si="41">AU655-M655</f>
        <v>0</v>
      </c>
    </row>
    <row r="656" spans="1:53" ht="50.1" customHeight="1" x14ac:dyDescent="0.25">
      <c r="A656" s="17">
        <f t="shared" ref="A656:A719" si="42">ROW(A642)</f>
        <v>642</v>
      </c>
      <c r="B656" s="229"/>
      <c r="C656" s="222"/>
      <c r="D656" s="112"/>
      <c r="E656" s="128"/>
      <c r="F656" s="129"/>
      <c r="G656" s="130"/>
      <c r="H656" s="131"/>
      <c r="I656" s="132"/>
      <c r="J656" s="108"/>
      <c r="K656" s="133"/>
      <c r="L656" s="134"/>
      <c r="M656" s="334"/>
      <c r="N656" s="343"/>
      <c r="O656" s="135"/>
      <c r="P656" s="82"/>
      <c r="Q656" s="135"/>
      <c r="R656" s="82"/>
      <c r="S656" s="299"/>
      <c r="T656" s="305"/>
      <c r="U656" s="298"/>
      <c r="V656" s="304"/>
      <c r="W656" s="249"/>
      <c r="X656" s="344"/>
      <c r="Y656" s="337"/>
      <c r="Z656" s="33"/>
      <c r="AA656" s="83"/>
      <c r="AB656" s="33"/>
      <c r="AC656" s="83"/>
      <c r="AD656" s="33"/>
      <c r="AE656" s="83"/>
      <c r="AF656" s="33"/>
      <c r="AG656" s="244"/>
      <c r="AH656" s="83"/>
      <c r="AI656" s="246"/>
      <c r="AJ656" s="102"/>
      <c r="AK656" s="92"/>
      <c r="AL656" s="91"/>
      <c r="AM656" s="92"/>
      <c r="AN656" s="351"/>
      <c r="AO656" s="197">
        <f t="shared" ref="AO656:AO719" si="43">AJ656-AK656-AL656-AM656-AN656</f>
        <v>0</v>
      </c>
      <c r="AP656" s="91"/>
      <c r="AQ656" s="217"/>
      <c r="AR656" s="103"/>
      <c r="AS656" s="264"/>
      <c r="AT656" s="94"/>
      <c r="AU656" s="84"/>
      <c r="AV656" s="136"/>
      <c r="AW656" s="77"/>
      <c r="AX656" s="137"/>
      <c r="AY656" s="138"/>
      <c r="AZ656" s="220">
        <f t="shared" si="40"/>
        <v>0</v>
      </c>
      <c r="BA656" s="220">
        <f t="shared" si="41"/>
        <v>0</v>
      </c>
    </row>
    <row r="657" spans="1:53" ht="50.1" customHeight="1" x14ac:dyDescent="0.25">
      <c r="A657" s="17">
        <f t="shared" si="42"/>
        <v>643</v>
      </c>
      <c r="B657" s="228"/>
      <c r="C657" s="221"/>
      <c r="D657" s="88"/>
      <c r="E657" s="100"/>
      <c r="F657" s="95"/>
      <c r="G657" s="114"/>
      <c r="H657" s="96"/>
      <c r="I657" s="97"/>
      <c r="J657" s="98"/>
      <c r="K657" s="101"/>
      <c r="L657" s="124"/>
      <c r="M657" s="333"/>
      <c r="N657" s="341"/>
      <c r="O657" s="82"/>
      <c r="P657" s="93"/>
      <c r="Q657" s="82"/>
      <c r="R657" s="93"/>
      <c r="S657" s="298"/>
      <c r="T657" s="304"/>
      <c r="U657" s="307"/>
      <c r="V657" s="309"/>
      <c r="W657" s="248"/>
      <c r="X657" s="342"/>
      <c r="Y657" s="336"/>
      <c r="Z657" s="123"/>
      <c r="AA657" s="33"/>
      <c r="AB657" s="123"/>
      <c r="AC657" s="33"/>
      <c r="AD657" s="123"/>
      <c r="AE657" s="33"/>
      <c r="AF657" s="123"/>
      <c r="AG657" s="243"/>
      <c r="AH657" s="33"/>
      <c r="AI657" s="245"/>
      <c r="AJ657" s="125"/>
      <c r="AK657" s="91"/>
      <c r="AL657" s="126"/>
      <c r="AM657" s="91"/>
      <c r="AN657" s="91"/>
      <c r="AO657" s="197">
        <f t="shared" si="43"/>
        <v>0</v>
      </c>
      <c r="AP657" s="126"/>
      <c r="AQ657" s="216"/>
      <c r="AR657" s="127"/>
      <c r="AS657" s="269"/>
      <c r="AT657" s="94"/>
      <c r="AU657" s="84"/>
      <c r="AV657" s="80"/>
      <c r="AW657" s="81"/>
      <c r="AX657" s="77"/>
      <c r="AY657" s="107"/>
      <c r="AZ657" s="220">
        <f t="shared" si="40"/>
        <v>0</v>
      </c>
      <c r="BA657" s="220">
        <f t="shared" si="41"/>
        <v>0</v>
      </c>
    </row>
    <row r="658" spans="1:53" ht="50.1" customHeight="1" x14ac:dyDescent="0.25">
      <c r="A658" s="17">
        <f t="shared" si="42"/>
        <v>644</v>
      </c>
      <c r="B658" s="229"/>
      <c r="C658" s="222"/>
      <c r="D658" s="112"/>
      <c r="E658" s="128"/>
      <c r="F658" s="129"/>
      <c r="G658" s="130"/>
      <c r="H658" s="131"/>
      <c r="I658" s="132"/>
      <c r="J658" s="108"/>
      <c r="K658" s="133"/>
      <c r="L658" s="134"/>
      <c r="M658" s="334"/>
      <c r="N658" s="343"/>
      <c r="O658" s="135"/>
      <c r="P658" s="82"/>
      <c r="Q658" s="135"/>
      <c r="R658" s="82"/>
      <c r="S658" s="299"/>
      <c r="T658" s="305"/>
      <c r="U658" s="298"/>
      <c r="V658" s="304"/>
      <c r="W658" s="249"/>
      <c r="X658" s="344"/>
      <c r="Y658" s="337"/>
      <c r="Z658" s="33"/>
      <c r="AA658" s="83"/>
      <c r="AB658" s="33"/>
      <c r="AC658" s="83"/>
      <c r="AD658" s="33"/>
      <c r="AE658" s="83"/>
      <c r="AF658" s="33"/>
      <c r="AG658" s="244"/>
      <c r="AH658" s="83"/>
      <c r="AI658" s="246"/>
      <c r="AJ658" s="102"/>
      <c r="AK658" s="92"/>
      <c r="AL658" s="91"/>
      <c r="AM658" s="92"/>
      <c r="AN658" s="351"/>
      <c r="AO658" s="197">
        <f t="shared" si="43"/>
        <v>0</v>
      </c>
      <c r="AP658" s="91"/>
      <c r="AQ658" s="217"/>
      <c r="AR658" s="103"/>
      <c r="AS658" s="264"/>
      <c r="AT658" s="94"/>
      <c r="AU658" s="84"/>
      <c r="AV658" s="136"/>
      <c r="AW658" s="77"/>
      <c r="AX658" s="137"/>
      <c r="AY658" s="138"/>
      <c r="AZ658" s="220">
        <f t="shared" si="40"/>
        <v>0</v>
      </c>
      <c r="BA658" s="220">
        <f t="shared" si="41"/>
        <v>0</v>
      </c>
    </row>
    <row r="659" spans="1:53" ht="50.1" customHeight="1" x14ac:dyDescent="0.25">
      <c r="A659" s="17">
        <f t="shared" si="42"/>
        <v>645</v>
      </c>
      <c r="B659" s="228"/>
      <c r="C659" s="221"/>
      <c r="D659" s="88"/>
      <c r="E659" s="100"/>
      <c r="F659" s="95"/>
      <c r="G659" s="114"/>
      <c r="H659" s="96"/>
      <c r="I659" s="97"/>
      <c r="J659" s="98"/>
      <c r="K659" s="101"/>
      <c r="L659" s="124"/>
      <c r="M659" s="333"/>
      <c r="N659" s="341"/>
      <c r="O659" s="82"/>
      <c r="P659" s="93"/>
      <c r="Q659" s="82"/>
      <c r="R659" s="93"/>
      <c r="S659" s="298"/>
      <c r="T659" s="304"/>
      <c r="U659" s="307"/>
      <c r="V659" s="309"/>
      <c r="W659" s="248"/>
      <c r="X659" s="342"/>
      <c r="Y659" s="336"/>
      <c r="Z659" s="123"/>
      <c r="AA659" s="33"/>
      <c r="AB659" s="123"/>
      <c r="AC659" s="33"/>
      <c r="AD659" s="123"/>
      <c r="AE659" s="33"/>
      <c r="AF659" s="123"/>
      <c r="AG659" s="243"/>
      <c r="AH659" s="33"/>
      <c r="AI659" s="245"/>
      <c r="AJ659" s="125"/>
      <c r="AK659" s="91"/>
      <c r="AL659" s="126"/>
      <c r="AM659" s="91"/>
      <c r="AN659" s="91"/>
      <c r="AO659" s="197">
        <f t="shared" si="43"/>
        <v>0</v>
      </c>
      <c r="AP659" s="126"/>
      <c r="AQ659" s="216"/>
      <c r="AR659" s="127"/>
      <c r="AS659" s="269"/>
      <c r="AT659" s="94"/>
      <c r="AU659" s="84"/>
      <c r="AV659" s="80"/>
      <c r="AW659" s="81"/>
      <c r="AX659" s="77"/>
      <c r="AY659" s="107"/>
      <c r="AZ659" s="220">
        <f t="shared" si="40"/>
        <v>0</v>
      </c>
      <c r="BA659" s="220">
        <f t="shared" si="41"/>
        <v>0</v>
      </c>
    </row>
    <row r="660" spans="1:53" ht="50.1" customHeight="1" x14ac:dyDescent="0.25">
      <c r="A660" s="17">
        <f t="shared" si="42"/>
        <v>646</v>
      </c>
      <c r="B660" s="229"/>
      <c r="C660" s="222"/>
      <c r="D660" s="112"/>
      <c r="E660" s="128"/>
      <c r="F660" s="129"/>
      <c r="G660" s="130"/>
      <c r="H660" s="131"/>
      <c r="I660" s="132"/>
      <c r="J660" s="108"/>
      <c r="K660" s="133"/>
      <c r="L660" s="134"/>
      <c r="M660" s="334"/>
      <c r="N660" s="343"/>
      <c r="O660" s="135"/>
      <c r="P660" s="82"/>
      <c r="Q660" s="135"/>
      <c r="R660" s="82"/>
      <c r="S660" s="299"/>
      <c r="T660" s="305"/>
      <c r="U660" s="298"/>
      <c r="V660" s="304"/>
      <c r="W660" s="249"/>
      <c r="X660" s="344"/>
      <c r="Y660" s="337"/>
      <c r="Z660" s="33"/>
      <c r="AA660" s="83"/>
      <c r="AB660" s="33"/>
      <c r="AC660" s="83"/>
      <c r="AD660" s="33"/>
      <c r="AE660" s="83"/>
      <c r="AF660" s="33"/>
      <c r="AG660" s="244"/>
      <c r="AH660" s="83"/>
      <c r="AI660" s="246"/>
      <c r="AJ660" s="102"/>
      <c r="AK660" s="92"/>
      <c r="AL660" s="91"/>
      <c r="AM660" s="92"/>
      <c r="AN660" s="351"/>
      <c r="AO660" s="197">
        <f t="shared" si="43"/>
        <v>0</v>
      </c>
      <c r="AP660" s="91"/>
      <c r="AQ660" s="217"/>
      <c r="AR660" s="103"/>
      <c r="AS660" s="264"/>
      <c r="AT660" s="94"/>
      <c r="AU660" s="84"/>
      <c r="AV660" s="136"/>
      <c r="AW660" s="77"/>
      <c r="AX660" s="137"/>
      <c r="AY660" s="138"/>
      <c r="AZ660" s="220">
        <f t="shared" si="40"/>
        <v>0</v>
      </c>
      <c r="BA660" s="220">
        <f t="shared" si="41"/>
        <v>0</v>
      </c>
    </row>
    <row r="661" spans="1:53" ht="50.1" customHeight="1" x14ac:dyDescent="0.25">
      <c r="A661" s="17">
        <f t="shared" si="42"/>
        <v>647</v>
      </c>
      <c r="B661" s="228"/>
      <c r="C661" s="221"/>
      <c r="D661" s="88"/>
      <c r="E661" s="100"/>
      <c r="F661" s="95"/>
      <c r="G661" s="114"/>
      <c r="H661" s="96"/>
      <c r="I661" s="97"/>
      <c r="J661" s="98"/>
      <c r="K661" s="101"/>
      <c r="L661" s="124"/>
      <c r="M661" s="333"/>
      <c r="N661" s="341"/>
      <c r="O661" s="82"/>
      <c r="P661" s="93"/>
      <c r="Q661" s="82"/>
      <c r="R661" s="93"/>
      <c r="S661" s="298"/>
      <c r="T661" s="304"/>
      <c r="U661" s="307"/>
      <c r="V661" s="309"/>
      <c r="W661" s="248"/>
      <c r="X661" s="342"/>
      <c r="Y661" s="336"/>
      <c r="Z661" s="123"/>
      <c r="AA661" s="33"/>
      <c r="AB661" s="123"/>
      <c r="AC661" s="33"/>
      <c r="AD661" s="123"/>
      <c r="AE661" s="33"/>
      <c r="AF661" s="123"/>
      <c r="AG661" s="243"/>
      <c r="AH661" s="33"/>
      <c r="AI661" s="245"/>
      <c r="AJ661" s="125"/>
      <c r="AK661" s="91"/>
      <c r="AL661" s="126"/>
      <c r="AM661" s="91"/>
      <c r="AN661" s="91"/>
      <c r="AO661" s="197">
        <f t="shared" si="43"/>
        <v>0</v>
      </c>
      <c r="AP661" s="126"/>
      <c r="AQ661" s="216"/>
      <c r="AR661" s="127"/>
      <c r="AS661" s="269"/>
      <c r="AT661" s="94"/>
      <c r="AU661" s="84"/>
      <c r="AV661" s="80"/>
      <c r="AW661" s="81"/>
      <c r="AX661" s="77"/>
      <c r="AY661" s="107"/>
      <c r="AZ661" s="220">
        <f t="shared" si="40"/>
        <v>0</v>
      </c>
      <c r="BA661" s="220">
        <f t="shared" si="41"/>
        <v>0</v>
      </c>
    </row>
    <row r="662" spans="1:53" ht="50.1" customHeight="1" x14ac:dyDescent="0.25">
      <c r="A662" s="17">
        <f t="shared" si="42"/>
        <v>648</v>
      </c>
      <c r="B662" s="229"/>
      <c r="C662" s="222"/>
      <c r="D662" s="112"/>
      <c r="E662" s="128"/>
      <c r="F662" s="129"/>
      <c r="G662" s="130"/>
      <c r="H662" s="131"/>
      <c r="I662" s="132"/>
      <c r="J662" s="108"/>
      <c r="K662" s="133"/>
      <c r="L662" s="134"/>
      <c r="M662" s="334"/>
      <c r="N662" s="343"/>
      <c r="O662" s="135"/>
      <c r="P662" s="82"/>
      <c r="Q662" s="135"/>
      <c r="R662" s="82"/>
      <c r="S662" s="299"/>
      <c r="T662" s="305"/>
      <c r="U662" s="298"/>
      <c r="V662" s="304"/>
      <c r="W662" s="249"/>
      <c r="X662" s="344"/>
      <c r="Y662" s="337"/>
      <c r="Z662" s="33"/>
      <c r="AA662" s="83"/>
      <c r="AB662" s="33"/>
      <c r="AC662" s="83"/>
      <c r="AD662" s="33"/>
      <c r="AE662" s="83"/>
      <c r="AF662" s="33"/>
      <c r="AG662" s="244"/>
      <c r="AH662" s="83"/>
      <c r="AI662" s="246"/>
      <c r="AJ662" s="102"/>
      <c r="AK662" s="92"/>
      <c r="AL662" s="91"/>
      <c r="AM662" s="92"/>
      <c r="AN662" s="351"/>
      <c r="AO662" s="197">
        <f t="shared" si="43"/>
        <v>0</v>
      </c>
      <c r="AP662" s="91"/>
      <c r="AQ662" s="217"/>
      <c r="AR662" s="103"/>
      <c r="AS662" s="264"/>
      <c r="AT662" s="94"/>
      <c r="AU662" s="84"/>
      <c r="AV662" s="136"/>
      <c r="AW662" s="77"/>
      <c r="AX662" s="137"/>
      <c r="AY662" s="138"/>
      <c r="AZ662" s="220">
        <f t="shared" si="40"/>
        <v>0</v>
      </c>
      <c r="BA662" s="220">
        <f t="shared" si="41"/>
        <v>0</v>
      </c>
    </row>
    <row r="663" spans="1:53" ht="50.1" customHeight="1" x14ac:dyDescent="0.25">
      <c r="A663" s="17">
        <f t="shared" si="42"/>
        <v>649</v>
      </c>
      <c r="B663" s="228"/>
      <c r="C663" s="221"/>
      <c r="D663" s="88"/>
      <c r="E663" s="100"/>
      <c r="F663" s="95"/>
      <c r="G663" s="114"/>
      <c r="H663" s="96"/>
      <c r="I663" s="97"/>
      <c r="J663" s="98"/>
      <c r="K663" s="101"/>
      <c r="L663" s="124"/>
      <c r="M663" s="333"/>
      <c r="N663" s="341"/>
      <c r="O663" s="82"/>
      <c r="P663" s="93"/>
      <c r="Q663" s="82"/>
      <c r="R663" s="93"/>
      <c r="S663" s="298"/>
      <c r="T663" s="304"/>
      <c r="U663" s="307"/>
      <c r="V663" s="309"/>
      <c r="W663" s="248"/>
      <c r="X663" s="342"/>
      <c r="Y663" s="336"/>
      <c r="Z663" s="123"/>
      <c r="AA663" s="33"/>
      <c r="AB663" s="123"/>
      <c r="AC663" s="33"/>
      <c r="AD663" s="123"/>
      <c r="AE663" s="33"/>
      <c r="AF663" s="123"/>
      <c r="AG663" s="243"/>
      <c r="AH663" s="33"/>
      <c r="AI663" s="245"/>
      <c r="AJ663" s="125"/>
      <c r="AK663" s="91"/>
      <c r="AL663" s="126"/>
      <c r="AM663" s="91"/>
      <c r="AN663" s="91"/>
      <c r="AO663" s="197">
        <f t="shared" si="43"/>
        <v>0</v>
      </c>
      <c r="AP663" s="126"/>
      <c r="AQ663" s="216"/>
      <c r="AR663" s="127"/>
      <c r="AS663" s="269"/>
      <c r="AT663" s="94"/>
      <c r="AU663" s="84"/>
      <c r="AV663" s="80"/>
      <c r="AW663" s="81"/>
      <c r="AX663" s="77"/>
      <c r="AY663" s="107"/>
      <c r="AZ663" s="220">
        <f t="shared" si="40"/>
        <v>0</v>
      </c>
      <c r="BA663" s="220">
        <f t="shared" si="41"/>
        <v>0</v>
      </c>
    </row>
    <row r="664" spans="1:53" ht="50.1" customHeight="1" x14ac:dyDescent="0.25">
      <c r="A664" s="17">
        <f t="shared" si="42"/>
        <v>650</v>
      </c>
      <c r="B664" s="229"/>
      <c r="C664" s="222"/>
      <c r="D664" s="112"/>
      <c r="E664" s="128"/>
      <c r="F664" s="129"/>
      <c r="G664" s="130"/>
      <c r="H664" s="131"/>
      <c r="I664" s="132"/>
      <c r="J664" s="108"/>
      <c r="K664" s="133"/>
      <c r="L664" s="134"/>
      <c r="M664" s="334"/>
      <c r="N664" s="343"/>
      <c r="O664" s="135"/>
      <c r="P664" s="82"/>
      <c r="Q664" s="135"/>
      <c r="R664" s="82"/>
      <c r="S664" s="299"/>
      <c r="T664" s="305"/>
      <c r="U664" s="298"/>
      <c r="V664" s="304"/>
      <c r="W664" s="249"/>
      <c r="X664" s="344"/>
      <c r="Y664" s="337"/>
      <c r="Z664" s="33"/>
      <c r="AA664" s="83"/>
      <c r="AB664" s="33"/>
      <c r="AC664" s="83"/>
      <c r="AD664" s="33"/>
      <c r="AE664" s="83"/>
      <c r="AF664" s="33"/>
      <c r="AG664" s="244"/>
      <c r="AH664" s="83"/>
      <c r="AI664" s="246"/>
      <c r="AJ664" s="102"/>
      <c r="AK664" s="92"/>
      <c r="AL664" s="91"/>
      <c r="AM664" s="92"/>
      <c r="AN664" s="351"/>
      <c r="AO664" s="197">
        <f t="shared" si="43"/>
        <v>0</v>
      </c>
      <c r="AP664" s="91"/>
      <c r="AQ664" s="217"/>
      <c r="AR664" s="103"/>
      <c r="AS664" s="264"/>
      <c r="AT664" s="94"/>
      <c r="AU664" s="84"/>
      <c r="AV664" s="136"/>
      <c r="AW664" s="77"/>
      <c r="AX664" s="137"/>
      <c r="AY664" s="138"/>
      <c r="AZ664" s="220">
        <f t="shared" si="40"/>
        <v>0</v>
      </c>
      <c r="BA664" s="220">
        <f t="shared" si="41"/>
        <v>0</v>
      </c>
    </row>
    <row r="665" spans="1:53" ht="50.1" customHeight="1" x14ac:dyDescent="0.25">
      <c r="A665" s="17">
        <f t="shared" si="42"/>
        <v>651</v>
      </c>
      <c r="B665" s="228"/>
      <c r="C665" s="221"/>
      <c r="D665" s="88"/>
      <c r="E665" s="100"/>
      <c r="F665" s="95"/>
      <c r="G665" s="114"/>
      <c r="H665" s="96"/>
      <c r="I665" s="97"/>
      <c r="J665" s="98"/>
      <c r="K665" s="101"/>
      <c r="L665" s="124"/>
      <c r="M665" s="333"/>
      <c r="N665" s="341"/>
      <c r="O665" s="82"/>
      <c r="P665" s="93"/>
      <c r="Q665" s="82"/>
      <c r="R665" s="93"/>
      <c r="S665" s="298"/>
      <c r="T665" s="304"/>
      <c r="U665" s="307"/>
      <c r="V665" s="309"/>
      <c r="W665" s="248"/>
      <c r="X665" s="342"/>
      <c r="Y665" s="336"/>
      <c r="Z665" s="123"/>
      <c r="AA665" s="33"/>
      <c r="AB665" s="123"/>
      <c r="AC665" s="33"/>
      <c r="AD665" s="123"/>
      <c r="AE665" s="33"/>
      <c r="AF665" s="123"/>
      <c r="AG665" s="243"/>
      <c r="AH665" s="33"/>
      <c r="AI665" s="245"/>
      <c r="AJ665" s="125"/>
      <c r="AK665" s="91"/>
      <c r="AL665" s="126"/>
      <c r="AM665" s="91"/>
      <c r="AN665" s="91"/>
      <c r="AO665" s="197">
        <f t="shared" si="43"/>
        <v>0</v>
      </c>
      <c r="AP665" s="126"/>
      <c r="AQ665" s="216"/>
      <c r="AR665" s="127"/>
      <c r="AS665" s="269"/>
      <c r="AT665" s="94"/>
      <c r="AU665" s="84"/>
      <c r="AV665" s="80"/>
      <c r="AW665" s="81"/>
      <c r="AX665" s="77"/>
      <c r="AY665" s="107"/>
      <c r="AZ665" s="220">
        <f t="shared" si="40"/>
        <v>0</v>
      </c>
      <c r="BA665" s="220">
        <f t="shared" si="41"/>
        <v>0</v>
      </c>
    </row>
    <row r="666" spans="1:53" ht="50.1" customHeight="1" x14ac:dyDescent="0.25">
      <c r="A666" s="17">
        <f t="shared" si="42"/>
        <v>652</v>
      </c>
      <c r="B666" s="229"/>
      <c r="C666" s="222"/>
      <c r="D666" s="112"/>
      <c r="E666" s="128"/>
      <c r="F666" s="129"/>
      <c r="G666" s="130"/>
      <c r="H666" s="131"/>
      <c r="I666" s="132"/>
      <c r="J666" s="108"/>
      <c r="K666" s="133"/>
      <c r="L666" s="134"/>
      <c r="M666" s="334"/>
      <c r="N666" s="343"/>
      <c r="O666" s="135"/>
      <c r="P666" s="82"/>
      <c r="Q666" s="135"/>
      <c r="R666" s="82"/>
      <c r="S666" s="299"/>
      <c r="T666" s="305"/>
      <c r="U666" s="298"/>
      <c r="V666" s="304"/>
      <c r="W666" s="249"/>
      <c r="X666" s="344"/>
      <c r="Y666" s="337"/>
      <c r="Z666" s="33"/>
      <c r="AA666" s="83"/>
      <c r="AB666" s="33"/>
      <c r="AC666" s="83"/>
      <c r="AD666" s="33"/>
      <c r="AE666" s="83"/>
      <c r="AF666" s="33"/>
      <c r="AG666" s="244"/>
      <c r="AH666" s="83"/>
      <c r="AI666" s="246"/>
      <c r="AJ666" s="102"/>
      <c r="AK666" s="92"/>
      <c r="AL666" s="91"/>
      <c r="AM666" s="92"/>
      <c r="AN666" s="351"/>
      <c r="AO666" s="197">
        <f t="shared" si="43"/>
        <v>0</v>
      </c>
      <c r="AP666" s="91"/>
      <c r="AQ666" s="217"/>
      <c r="AR666" s="103"/>
      <c r="AS666" s="264"/>
      <c r="AT666" s="94"/>
      <c r="AU666" s="84"/>
      <c r="AV666" s="136"/>
      <c r="AW666" s="77"/>
      <c r="AX666" s="137"/>
      <c r="AY666" s="138"/>
      <c r="AZ666" s="220">
        <f t="shared" si="40"/>
        <v>0</v>
      </c>
      <c r="BA666" s="220">
        <f t="shared" si="41"/>
        <v>0</v>
      </c>
    </row>
    <row r="667" spans="1:53" ht="50.1" customHeight="1" x14ac:dyDescent="0.25">
      <c r="A667" s="17">
        <f t="shared" si="42"/>
        <v>653</v>
      </c>
      <c r="B667" s="228"/>
      <c r="C667" s="221"/>
      <c r="D667" s="88"/>
      <c r="E667" s="100"/>
      <c r="F667" s="95"/>
      <c r="G667" s="114"/>
      <c r="H667" s="96"/>
      <c r="I667" s="97"/>
      <c r="J667" s="98"/>
      <c r="K667" s="101"/>
      <c r="L667" s="124"/>
      <c r="M667" s="333"/>
      <c r="N667" s="341"/>
      <c r="O667" s="82"/>
      <c r="P667" s="93"/>
      <c r="Q667" s="82"/>
      <c r="R667" s="93"/>
      <c r="S667" s="298"/>
      <c r="T667" s="304"/>
      <c r="U667" s="307"/>
      <c r="V667" s="309"/>
      <c r="W667" s="248"/>
      <c r="X667" s="342"/>
      <c r="Y667" s="336"/>
      <c r="Z667" s="123"/>
      <c r="AA667" s="33"/>
      <c r="AB667" s="123"/>
      <c r="AC667" s="33"/>
      <c r="AD667" s="123"/>
      <c r="AE667" s="33"/>
      <c r="AF667" s="123"/>
      <c r="AG667" s="243"/>
      <c r="AH667" s="33"/>
      <c r="AI667" s="245"/>
      <c r="AJ667" s="125"/>
      <c r="AK667" s="91"/>
      <c r="AL667" s="126"/>
      <c r="AM667" s="91"/>
      <c r="AN667" s="91"/>
      <c r="AO667" s="197">
        <f t="shared" si="43"/>
        <v>0</v>
      </c>
      <c r="AP667" s="126"/>
      <c r="AQ667" s="216"/>
      <c r="AR667" s="127"/>
      <c r="AS667" s="269"/>
      <c r="AT667" s="94"/>
      <c r="AU667" s="84"/>
      <c r="AV667" s="80"/>
      <c r="AW667" s="81"/>
      <c r="AX667" s="77"/>
      <c r="AY667" s="107"/>
      <c r="AZ667" s="220">
        <f t="shared" si="40"/>
        <v>0</v>
      </c>
      <c r="BA667" s="220">
        <f t="shared" si="41"/>
        <v>0</v>
      </c>
    </row>
    <row r="668" spans="1:53" ht="50.1" customHeight="1" x14ac:dyDescent="0.25">
      <c r="A668" s="17">
        <f t="shared" si="42"/>
        <v>654</v>
      </c>
      <c r="B668" s="229"/>
      <c r="C668" s="222"/>
      <c r="D668" s="112"/>
      <c r="E668" s="128"/>
      <c r="F668" s="129"/>
      <c r="G668" s="130"/>
      <c r="H668" s="131"/>
      <c r="I668" s="132"/>
      <c r="J668" s="108"/>
      <c r="K668" s="133"/>
      <c r="L668" s="134"/>
      <c r="M668" s="334"/>
      <c r="N668" s="343"/>
      <c r="O668" s="135"/>
      <c r="P668" s="82"/>
      <c r="Q668" s="135"/>
      <c r="R668" s="82"/>
      <c r="S668" s="299"/>
      <c r="T668" s="305"/>
      <c r="U668" s="298"/>
      <c r="V668" s="304"/>
      <c r="W668" s="249"/>
      <c r="X668" s="344"/>
      <c r="Y668" s="337"/>
      <c r="Z668" s="33"/>
      <c r="AA668" s="83"/>
      <c r="AB668" s="33"/>
      <c r="AC668" s="83"/>
      <c r="AD668" s="33"/>
      <c r="AE668" s="83"/>
      <c r="AF668" s="33"/>
      <c r="AG668" s="244"/>
      <c r="AH668" s="83"/>
      <c r="AI668" s="246"/>
      <c r="AJ668" s="102"/>
      <c r="AK668" s="92"/>
      <c r="AL668" s="91"/>
      <c r="AM668" s="92"/>
      <c r="AN668" s="351"/>
      <c r="AO668" s="197">
        <f t="shared" si="43"/>
        <v>0</v>
      </c>
      <c r="AP668" s="91"/>
      <c r="AQ668" s="217"/>
      <c r="AR668" s="103"/>
      <c r="AS668" s="264"/>
      <c r="AT668" s="94"/>
      <c r="AU668" s="84"/>
      <c r="AV668" s="136"/>
      <c r="AW668" s="77"/>
      <c r="AX668" s="137"/>
      <c r="AY668" s="138"/>
      <c r="AZ668" s="220">
        <f t="shared" si="40"/>
        <v>0</v>
      </c>
      <c r="BA668" s="220">
        <f t="shared" si="41"/>
        <v>0</v>
      </c>
    </row>
    <row r="669" spans="1:53" ht="50.1" customHeight="1" x14ac:dyDescent="0.25">
      <c r="A669" s="17">
        <f t="shared" si="42"/>
        <v>655</v>
      </c>
      <c r="B669" s="228"/>
      <c r="C669" s="221"/>
      <c r="D669" s="88"/>
      <c r="E669" s="100"/>
      <c r="F669" s="95"/>
      <c r="G669" s="114"/>
      <c r="H669" s="96"/>
      <c r="I669" s="97"/>
      <c r="J669" s="98"/>
      <c r="K669" s="101"/>
      <c r="L669" s="124"/>
      <c r="M669" s="333"/>
      <c r="N669" s="341"/>
      <c r="O669" s="82"/>
      <c r="P669" s="93"/>
      <c r="Q669" s="82"/>
      <c r="R669" s="93"/>
      <c r="S669" s="298"/>
      <c r="T669" s="304"/>
      <c r="U669" s="307"/>
      <c r="V669" s="309"/>
      <c r="W669" s="248"/>
      <c r="X669" s="342"/>
      <c r="Y669" s="336"/>
      <c r="Z669" s="123"/>
      <c r="AA669" s="33"/>
      <c r="AB669" s="123"/>
      <c r="AC669" s="33"/>
      <c r="AD669" s="123"/>
      <c r="AE669" s="33"/>
      <c r="AF669" s="123"/>
      <c r="AG669" s="243"/>
      <c r="AH669" s="33"/>
      <c r="AI669" s="245"/>
      <c r="AJ669" s="125"/>
      <c r="AK669" s="91"/>
      <c r="AL669" s="126"/>
      <c r="AM669" s="91"/>
      <c r="AN669" s="91"/>
      <c r="AO669" s="197">
        <f t="shared" si="43"/>
        <v>0</v>
      </c>
      <c r="AP669" s="126"/>
      <c r="AQ669" s="216"/>
      <c r="AR669" s="127"/>
      <c r="AS669" s="269"/>
      <c r="AT669" s="94"/>
      <c r="AU669" s="84"/>
      <c r="AV669" s="80"/>
      <c r="AW669" s="81"/>
      <c r="AX669" s="77"/>
      <c r="AY669" s="107"/>
      <c r="AZ669" s="220">
        <f t="shared" si="40"/>
        <v>0</v>
      </c>
      <c r="BA669" s="220">
        <f t="shared" si="41"/>
        <v>0</v>
      </c>
    </row>
    <row r="670" spans="1:53" ht="50.1" customHeight="1" x14ac:dyDescent="0.25">
      <c r="A670" s="17">
        <f t="shared" si="42"/>
        <v>656</v>
      </c>
      <c r="B670" s="229"/>
      <c r="C670" s="222"/>
      <c r="D670" s="112"/>
      <c r="E670" s="128"/>
      <c r="F670" s="129"/>
      <c r="G670" s="130"/>
      <c r="H670" s="131"/>
      <c r="I670" s="132"/>
      <c r="J670" s="108"/>
      <c r="K670" s="133"/>
      <c r="L670" s="134"/>
      <c r="M670" s="334"/>
      <c r="N670" s="343"/>
      <c r="O670" s="135"/>
      <c r="P670" s="82"/>
      <c r="Q670" s="135"/>
      <c r="R670" s="82"/>
      <c r="S670" s="299"/>
      <c r="T670" s="305"/>
      <c r="U670" s="298"/>
      <c r="V670" s="304"/>
      <c r="W670" s="249"/>
      <c r="X670" s="344"/>
      <c r="Y670" s="337"/>
      <c r="Z670" s="33"/>
      <c r="AA670" s="83"/>
      <c r="AB670" s="33"/>
      <c r="AC670" s="83"/>
      <c r="AD670" s="33"/>
      <c r="AE670" s="83"/>
      <c r="AF670" s="33"/>
      <c r="AG670" s="244"/>
      <c r="AH670" s="83"/>
      <c r="AI670" s="246"/>
      <c r="AJ670" s="102"/>
      <c r="AK670" s="92"/>
      <c r="AL670" s="91"/>
      <c r="AM670" s="92"/>
      <c r="AN670" s="351"/>
      <c r="AO670" s="197">
        <f t="shared" si="43"/>
        <v>0</v>
      </c>
      <c r="AP670" s="91"/>
      <c r="AQ670" s="217"/>
      <c r="AR670" s="103"/>
      <c r="AS670" s="264"/>
      <c r="AT670" s="94"/>
      <c r="AU670" s="84"/>
      <c r="AV670" s="136"/>
      <c r="AW670" s="77"/>
      <c r="AX670" s="137"/>
      <c r="AY670" s="138"/>
      <c r="AZ670" s="220">
        <f t="shared" si="40"/>
        <v>0</v>
      </c>
      <c r="BA670" s="220">
        <f t="shared" si="41"/>
        <v>0</v>
      </c>
    </row>
    <row r="671" spans="1:53" ht="50.1" customHeight="1" x14ac:dyDescent="0.25">
      <c r="A671" s="17">
        <f t="shared" si="42"/>
        <v>657</v>
      </c>
      <c r="B671" s="228"/>
      <c r="C671" s="221"/>
      <c r="D671" s="88"/>
      <c r="E671" s="100"/>
      <c r="F671" s="95"/>
      <c r="G671" s="114"/>
      <c r="H671" s="96"/>
      <c r="I671" s="97"/>
      <c r="J671" s="98"/>
      <c r="K671" s="101"/>
      <c r="L671" s="124"/>
      <c r="M671" s="333"/>
      <c r="N671" s="341"/>
      <c r="O671" s="82"/>
      <c r="P671" s="93"/>
      <c r="Q671" s="82"/>
      <c r="R671" s="93"/>
      <c r="S671" s="298"/>
      <c r="T671" s="304"/>
      <c r="U671" s="307"/>
      <c r="V671" s="309"/>
      <c r="W671" s="248"/>
      <c r="X671" s="342"/>
      <c r="Y671" s="336"/>
      <c r="Z671" s="123"/>
      <c r="AA671" s="33"/>
      <c r="AB671" s="123"/>
      <c r="AC671" s="33"/>
      <c r="AD671" s="123"/>
      <c r="AE671" s="33"/>
      <c r="AF671" s="123"/>
      <c r="AG671" s="243"/>
      <c r="AH671" s="33"/>
      <c r="AI671" s="245"/>
      <c r="AJ671" s="125"/>
      <c r="AK671" s="91"/>
      <c r="AL671" s="126"/>
      <c r="AM671" s="91"/>
      <c r="AN671" s="91"/>
      <c r="AO671" s="197">
        <f t="shared" si="43"/>
        <v>0</v>
      </c>
      <c r="AP671" s="126"/>
      <c r="AQ671" s="216"/>
      <c r="AR671" s="127"/>
      <c r="AS671" s="269"/>
      <c r="AT671" s="94"/>
      <c r="AU671" s="84"/>
      <c r="AV671" s="80"/>
      <c r="AW671" s="81"/>
      <c r="AX671" s="77"/>
      <c r="AY671" s="107"/>
      <c r="AZ671" s="220">
        <f t="shared" si="40"/>
        <v>0</v>
      </c>
      <c r="BA671" s="220">
        <f t="shared" si="41"/>
        <v>0</v>
      </c>
    </row>
    <row r="672" spans="1:53" ht="50.1" customHeight="1" x14ac:dyDescent="0.25">
      <c r="A672" s="17">
        <f t="shared" si="42"/>
        <v>658</v>
      </c>
      <c r="B672" s="229"/>
      <c r="C672" s="222"/>
      <c r="D672" s="112"/>
      <c r="E672" s="128"/>
      <c r="F672" s="129"/>
      <c r="G672" s="130"/>
      <c r="H672" s="131"/>
      <c r="I672" s="132"/>
      <c r="J672" s="108"/>
      <c r="K672" s="133"/>
      <c r="L672" s="134"/>
      <c r="M672" s="334"/>
      <c r="N672" s="343"/>
      <c r="O672" s="135"/>
      <c r="P672" s="82"/>
      <c r="Q672" s="135"/>
      <c r="R672" s="82"/>
      <c r="S672" s="299"/>
      <c r="T672" s="305"/>
      <c r="U672" s="298"/>
      <c r="V672" s="304"/>
      <c r="W672" s="249"/>
      <c r="X672" s="344"/>
      <c r="Y672" s="337"/>
      <c r="Z672" s="33"/>
      <c r="AA672" s="83"/>
      <c r="AB672" s="33"/>
      <c r="AC672" s="83"/>
      <c r="AD672" s="33"/>
      <c r="AE672" s="83"/>
      <c r="AF672" s="33"/>
      <c r="AG672" s="244"/>
      <c r="AH672" s="83"/>
      <c r="AI672" s="246"/>
      <c r="AJ672" s="102"/>
      <c r="AK672" s="92"/>
      <c r="AL672" s="91"/>
      <c r="AM672" s="92"/>
      <c r="AN672" s="351"/>
      <c r="AO672" s="197">
        <f t="shared" si="43"/>
        <v>0</v>
      </c>
      <c r="AP672" s="91"/>
      <c r="AQ672" s="217"/>
      <c r="AR672" s="103"/>
      <c r="AS672" s="264"/>
      <c r="AT672" s="94"/>
      <c r="AU672" s="84"/>
      <c r="AV672" s="136"/>
      <c r="AW672" s="77"/>
      <c r="AX672" s="137"/>
      <c r="AY672" s="138"/>
      <c r="AZ672" s="220">
        <f t="shared" si="40"/>
        <v>0</v>
      </c>
      <c r="BA672" s="220">
        <f t="shared" si="41"/>
        <v>0</v>
      </c>
    </row>
    <row r="673" spans="1:53" ht="50.1" customHeight="1" x14ac:dyDescent="0.25">
      <c r="A673" s="17">
        <f t="shared" si="42"/>
        <v>659</v>
      </c>
      <c r="B673" s="228"/>
      <c r="C673" s="221"/>
      <c r="D673" s="88"/>
      <c r="E673" s="100"/>
      <c r="F673" s="95"/>
      <c r="G673" s="114"/>
      <c r="H673" s="96"/>
      <c r="I673" s="97"/>
      <c r="J673" s="98"/>
      <c r="K673" s="101"/>
      <c r="L673" s="124"/>
      <c r="M673" s="333"/>
      <c r="N673" s="341"/>
      <c r="O673" s="82"/>
      <c r="P673" s="93"/>
      <c r="Q673" s="82"/>
      <c r="R673" s="93"/>
      <c r="S673" s="298"/>
      <c r="T673" s="304"/>
      <c r="U673" s="307"/>
      <c r="V673" s="309"/>
      <c r="W673" s="248"/>
      <c r="X673" s="342"/>
      <c r="Y673" s="336"/>
      <c r="Z673" s="123"/>
      <c r="AA673" s="33"/>
      <c r="AB673" s="123"/>
      <c r="AC673" s="33"/>
      <c r="AD673" s="123"/>
      <c r="AE673" s="33"/>
      <c r="AF673" s="123"/>
      <c r="AG673" s="243"/>
      <c r="AH673" s="33"/>
      <c r="AI673" s="245"/>
      <c r="AJ673" s="125"/>
      <c r="AK673" s="91"/>
      <c r="AL673" s="126"/>
      <c r="AM673" s="91"/>
      <c r="AN673" s="91"/>
      <c r="AO673" s="197">
        <f t="shared" si="43"/>
        <v>0</v>
      </c>
      <c r="AP673" s="126"/>
      <c r="AQ673" s="216"/>
      <c r="AR673" s="127"/>
      <c r="AS673" s="269"/>
      <c r="AT673" s="94"/>
      <c r="AU673" s="84"/>
      <c r="AV673" s="80"/>
      <c r="AW673" s="81"/>
      <c r="AX673" s="77"/>
      <c r="AY673" s="107"/>
      <c r="AZ673" s="220">
        <f t="shared" si="40"/>
        <v>0</v>
      </c>
      <c r="BA673" s="220">
        <f t="shared" si="41"/>
        <v>0</v>
      </c>
    </row>
    <row r="674" spans="1:53" ht="50.1" customHeight="1" x14ac:dyDescent="0.25">
      <c r="A674" s="17">
        <f t="shared" si="42"/>
        <v>660</v>
      </c>
      <c r="B674" s="229"/>
      <c r="C674" s="222"/>
      <c r="D674" s="112"/>
      <c r="E674" s="128"/>
      <c r="F674" s="129"/>
      <c r="G674" s="130"/>
      <c r="H674" s="131"/>
      <c r="I674" s="132"/>
      <c r="J674" s="108"/>
      <c r="K674" s="133"/>
      <c r="L674" s="134"/>
      <c r="M674" s="334"/>
      <c r="N674" s="343"/>
      <c r="O674" s="135"/>
      <c r="P674" s="82"/>
      <c r="Q674" s="135"/>
      <c r="R674" s="82"/>
      <c r="S674" s="299"/>
      <c r="T674" s="305"/>
      <c r="U674" s="298"/>
      <c r="V674" s="304"/>
      <c r="W674" s="249"/>
      <c r="X674" s="344"/>
      <c r="Y674" s="337"/>
      <c r="Z674" s="33"/>
      <c r="AA674" s="83"/>
      <c r="AB674" s="33"/>
      <c r="AC674" s="83"/>
      <c r="AD674" s="33"/>
      <c r="AE674" s="83"/>
      <c r="AF674" s="33"/>
      <c r="AG674" s="244"/>
      <c r="AH674" s="83"/>
      <c r="AI674" s="246"/>
      <c r="AJ674" s="102"/>
      <c r="AK674" s="92"/>
      <c r="AL674" s="91"/>
      <c r="AM674" s="92"/>
      <c r="AN674" s="351"/>
      <c r="AO674" s="197">
        <f t="shared" si="43"/>
        <v>0</v>
      </c>
      <c r="AP674" s="91"/>
      <c r="AQ674" s="217"/>
      <c r="AR674" s="103"/>
      <c r="AS674" s="264"/>
      <c r="AT674" s="94"/>
      <c r="AU674" s="84"/>
      <c r="AV674" s="136"/>
      <c r="AW674" s="77"/>
      <c r="AX674" s="137"/>
      <c r="AY674" s="138"/>
      <c r="AZ674" s="220">
        <f t="shared" si="40"/>
        <v>0</v>
      </c>
      <c r="BA674" s="220">
        <f t="shared" si="41"/>
        <v>0</v>
      </c>
    </row>
    <row r="675" spans="1:53" ht="50.1" customHeight="1" x14ac:dyDescent="0.25">
      <c r="A675" s="17">
        <f t="shared" si="42"/>
        <v>661</v>
      </c>
      <c r="B675" s="228"/>
      <c r="C675" s="221"/>
      <c r="D675" s="88"/>
      <c r="E675" s="100"/>
      <c r="F675" s="95"/>
      <c r="G675" s="114"/>
      <c r="H675" s="96"/>
      <c r="I675" s="97"/>
      <c r="J675" s="98"/>
      <c r="K675" s="101"/>
      <c r="L675" s="124"/>
      <c r="M675" s="333"/>
      <c r="N675" s="341"/>
      <c r="O675" s="82"/>
      <c r="P675" s="93"/>
      <c r="Q675" s="82"/>
      <c r="R675" s="93"/>
      <c r="S675" s="298"/>
      <c r="T675" s="304"/>
      <c r="U675" s="307"/>
      <c r="V675" s="309"/>
      <c r="W675" s="248"/>
      <c r="X675" s="342"/>
      <c r="Y675" s="336"/>
      <c r="Z675" s="123"/>
      <c r="AA675" s="33"/>
      <c r="AB675" s="123"/>
      <c r="AC675" s="33"/>
      <c r="AD675" s="123"/>
      <c r="AE675" s="33"/>
      <c r="AF675" s="123"/>
      <c r="AG675" s="243"/>
      <c r="AH675" s="33"/>
      <c r="AI675" s="245"/>
      <c r="AJ675" s="125"/>
      <c r="AK675" s="91"/>
      <c r="AL675" s="126"/>
      <c r="AM675" s="91"/>
      <c r="AN675" s="91"/>
      <c r="AO675" s="197">
        <f t="shared" si="43"/>
        <v>0</v>
      </c>
      <c r="AP675" s="126"/>
      <c r="AQ675" s="216"/>
      <c r="AR675" s="127"/>
      <c r="AS675" s="269"/>
      <c r="AT675" s="94"/>
      <c r="AU675" s="84"/>
      <c r="AV675" s="80"/>
      <c r="AW675" s="81"/>
      <c r="AX675" s="77"/>
      <c r="AY675" s="107"/>
      <c r="AZ675" s="220">
        <f t="shared" si="40"/>
        <v>0</v>
      </c>
      <c r="BA675" s="220">
        <f t="shared" si="41"/>
        <v>0</v>
      </c>
    </row>
    <row r="676" spans="1:53" ht="50.1" customHeight="1" x14ac:dyDescent="0.25">
      <c r="A676" s="17">
        <f t="shared" si="42"/>
        <v>662</v>
      </c>
      <c r="B676" s="229"/>
      <c r="C676" s="222"/>
      <c r="D676" s="112"/>
      <c r="E676" s="128"/>
      <c r="F676" s="129"/>
      <c r="G676" s="130"/>
      <c r="H676" s="131"/>
      <c r="I676" s="132"/>
      <c r="J676" s="108"/>
      <c r="K676" s="133"/>
      <c r="L676" s="134"/>
      <c r="M676" s="334"/>
      <c r="N676" s="343"/>
      <c r="O676" s="135"/>
      <c r="P676" s="82"/>
      <c r="Q676" s="135"/>
      <c r="R676" s="82"/>
      <c r="S676" s="299"/>
      <c r="T676" s="305"/>
      <c r="U676" s="298"/>
      <c r="V676" s="304"/>
      <c r="W676" s="249"/>
      <c r="X676" s="344"/>
      <c r="Y676" s="337"/>
      <c r="Z676" s="33"/>
      <c r="AA676" s="83"/>
      <c r="AB676" s="33"/>
      <c r="AC676" s="83"/>
      <c r="AD676" s="33"/>
      <c r="AE676" s="83"/>
      <c r="AF676" s="33"/>
      <c r="AG676" s="244"/>
      <c r="AH676" s="83"/>
      <c r="AI676" s="246"/>
      <c r="AJ676" s="102"/>
      <c r="AK676" s="92"/>
      <c r="AL676" s="91"/>
      <c r="AM676" s="92"/>
      <c r="AN676" s="351"/>
      <c r="AO676" s="197">
        <f t="shared" si="43"/>
        <v>0</v>
      </c>
      <c r="AP676" s="91"/>
      <c r="AQ676" s="217"/>
      <c r="AR676" s="103"/>
      <c r="AS676" s="264"/>
      <c r="AT676" s="94"/>
      <c r="AU676" s="84"/>
      <c r="AV676" s="136"/>
      <c r="AW676" s="77"/>
      <c r="AX676" s="137"/>
      <c r="AY676" s="138"/>
      <c r="AZ676" s="220">
        <f t="shared" si="40"/>
        <v>0</v>
      </c>
      <c r="BA676" s="220">
        <f t="shared" si="41"/>
        <v>0</v>
      </c>
    </row>
    <row r="677" spans="1:53" ht="50.1" customHeight="1" x14ac:dyDescent="0.25">
      <c r="A677" s="17">
        <f t="shared" si="42"/>
        <v>663</v>
      </c>
      <c r="B677" s="228"/>
      <c r="C677" s="221"/>
      <c r="D677" s="88"/>
      <c r="E677" s="100"/>
      <c r="F677" s="95"/>
      <c r="G677" s="114"/>
      <c r="H677" s="96"/>
      <c r="I677" s="97"/>
      <c r="J677" s="98"/>
      <c r="K677" s="101"/>
      <c r="L677" s="124"/>
      <c r="M677" s="333"/>
      <c r="N677" s="341"/>
      <c r="O677" s="82"/>
      <c r="P677" s="93"/>
      <c r="Q677" s="82"/>
      <c r="R677" s="93"/>
      <c r="S677" s="298"/>
      <c r="T677" s="304"/>
      <c r="U677" s="307"/>
      <c r="V677" s="309"/>
      <c r="W677" s="248"/>
      <c r="X677" s="342"/>
      <c r="Y677" s="336"/>
      <c r="Z677" s="123"/>
      <c r="AA677" s="33"/>
      <c r="AB677" s="123"/>
      <c r="AC677" s="33"/>
      <c r="AD677" s="123"/>
      <c r="AE677" s="33"/>
      <c r="AF677" s="123"/>
      <c r="AG677" s="243"/>
      <c r="AH677" s="33"/>
      <c r="AI677" s="245"/>
      <c r="AJ677" s="125"/>
      <c r="AK677" s="91"/>
      <c r="AL677" s="126"/>
      <c r="AM677" s="91"/>
      <c r="AN677" s="91"/>
      <c r="AO677" s="197">
        <f t="shared" si="43"/>
        <v>0</v>
      </c>
      <c r="AP677" s="126"/>
      <c r="AQ677" s="216"/>
      <c r="AR677" s="127"/>
      <c r="AS677" s="269"/>
      <c r="AT677" s="94"/>
      <c r="AU677" s="84"/>
      <c r="AV677" s="80"/>
      <c r="AW677" s="81"/>
      <c r="AX677" s="77"/>
      <c r="AY677" s="107"/>
      <c r="AZ677" s="220">
        <f t="shared" si="40"/>
        <v>0</v>
      </c>
      <c r="BA677" s="220">
        <f t="shared" si="41"/>
        <v>0</v>
      </c>
    </row>
    <row r="678" spans="1:53" ht="50.1" customHeight="1" x14ac:dyDescent="0.25">
      <c r="A678" s="17">
        <f t="shared" si="42"/>
        <v>664</v>
      </c>
      <c r="B678" s="229"/>
      <c r="C678" s="222"/>
      <c r="D678" s="112"/>
      <c r="E678" s="128"/>
      <c r="F678" s="129"/>
      <c r="G678" s="130"/>
      <c r="H678" s="131"/>
      <c r="I678" s="132"/>
      <c r="J678" s="108"/>
      <c r="K678" s="133"/>
      <c r="L678" s="134"/>
      <c r="M678" s="334"/>
      <c r="N678" s="343"/>
      <c r="O678" s="135"/>
      <c r="P678" s="82"/>
      <c r="Q678" s="135"/>
      <c r="R678" s="82"/>
      <c r="S678" s="299"/>
      <c r="T678" s="305"/>
      <c r="U678" s="298"/>
      <c r="V678" s="304"/>
      <c r="W678" s="249"/>
      <c r="X678" s="344"/>
      <c r="Y678" s="337"/>
      <c r="Z678" s="33"/>
      <c r="AA678" s="83"/>
      <c r="AB678" s="33"/>
      <c r="AC678" s="83"/>
      <c r="AD678" s="33"/>
      <c r="AE678" s="83"/>
      <c r="AF678" s="33"/>
      <c r="AG678" s="244"/>
      <c r="AH678" s="83"/>
      <c r="AI678" s="246"/>
      <c r="AJ678" s="102"/>
      <c r="AK678" s="92"/>
      <c r="AL678" s="91"/>
      <c r="AM678" s="92"/>
      <c r="AN678" s="351"/>
      <c r="AO678" s="197">
        <f t="shared" si="43"/>
        <v>0</v>
      </c>
      <c r="AP678" s="91"/>
      <c r="AQ678" s="217"/>
      <c r="AR678" s="103"/>
      <c r="AS678" s="264"/>
      <c r="AT678" s="94"/>
      <c r="AU678" s="84"/>
      <c r="AV678" s="136"/>
      <c r="AW678" s="77"/>
      <c r="AX678" s="137"/>
      <c r="AY678" s="138"/>
      <c r="AZ678" s="220">
        <f t="shared" si="40"/>
        <v>0</v>
      </c>
      <c r="BA678" s="220">
        <f t="shared" si="41"/>
        <v>0</v>
      </c>
    </row>
    <row r="679" spans="1:53" ht="50.1" customHeight="1" x14ac:dyDescent="0.25">
      <c r="A679" s="17">
        <f t="shared" si="42"/>
        <v>665</v>
      </c>
      <c r="B679" s="228"/>
      <c r="C679" s="221"/>
      <c r="D679" s="88"/>
      <c r="E679" s="100"/>
      <c r="F679" s="95"/>
      <c r="G679" s="114"/>
      <c r="H679" s="96"/>
      <c r="I679" s="97"/>
      <c r="J679" s="98"/>
      <c r="K679" s="101"/>
      <c r="L679" s="124"/>
      <c r="M679" s="333"/>
      <c r="N679" s="341"/>
      <c r="O679" s="82"/>
      <c r="P679" s="93"/>
      <c r="Q679" s="82"/>
      <c r="R679" s="93"/>
      <c r="S679" s="298"/>
      <c r="T679" s="304"/>
      <c r="U679" s="307"/>
      <c r="V679" s="309"/>
      <c r="W679" s="248"/>
      <c r="X679" s="342"/>
      <c r="Y679" s="336"/>
      <c r="Z679" s="123"/>
      <c r="AA679" s="33"/>
      <c r="AB679" s="123"/>
      <c r="AC679" s="33"/>
      <c r="AD679" s="123"/>
      <c r="AE679" s="33"/>
      <c r="AF679" s="123"/>
      <c r="AG679" s="243"/>
      <c r="AH679" s="33"/>
      <c r="AI679" s="245"/>
      <c r="AJ679" s="125"/>
      <c r="AK679" s="91"/>
      <c r="AL679" s="126"/>
      <c r="AM679" s="91"/>
      <c r="AN679" s="91"/>
      <c r="AO679" s="197">
        <f t="shared" si="43"/>
        <v>0</v>
      </c>
      <c r="AP679" s="126"/>
      <c r="AQ679" s="216"/>
      <c r="AR679" s="127"/>
      <c r="AS679" s="269"/>
      <c r="AT679" s="94"/>
      <c r="AU679" s="84"/>
      <c r="AV679" s="80"/>
      <c r="AW679" s="81"/>
      <c r="AX679" s="77"/>
      <c r="AY679" s="107"/>
      <c r="AZ679" s="220">
        <f t="shared" si="40"/>
        <v>0</v>
      </c>
      <c r="BA679" s="220">
        <f t="shared" si="41"/>
        <v>0</v>
      </c>
    </row>
    <row r="680" spans="1:53" ht="50.1" customHeight="1" x14ac:dyDescent="0.25">
      <c r="A680" s="17">
        <f t="shared" si="42"/>
        <v>666</v>
      </c>
      <c r="B680" s="229"/>
      <c r="C680" s="222"/>
      <c r="D680" s="112"/>
      <c r="E680" s="128"/>
      <c r="F680" s="129"/>
      <c r="G680" s="130"/>
      <c r="H680" s="131"/>
      <c r="I680" s="132"/>
      <c r="J680" s="108"/>
      <c r="K680" s="133"/>
      <c r="L680" s="134"/>
      <c r="M680" s="334"/>
      <c r="N680" s="343"/>
      <c r="O680" s="135"/>
      <c r="P680" s="82"/>
      <c r="Q680" s="135"/>
      <c r="R680" s="82"/>
      <c r="S680" s="299"/>
      <c r="T680" s="305"/>
      <c r="U680" s="298"/>
      <c r="V680" s="304"/>
      <c r="W680" s="249"/>
      <c r="X680" s="344"/>
      <c r="Y680" s="337"/>
      <c r="Z680" s="33"/>
      <c r="AA680" s="83"/>
      <c r="AB680" s="33"/>
      <c r="AC680" s="83"/>
      <c r="AD680" s="33"/>
      <c r="AE680" s="83"/>
      <c r="AF680" s="33"/>
      <c r="AG680" s="244"/>
      <c r="AH680" s="83"/>
      <c r="AI680" s="246"/>
      <c r="AJ680" s="102"/>
      <c r="AK680" s="92"/>
      <c r="AL680" s="91"/>
      <c r="AM680" s="92"/>
      <c r="AN680" s="351"/>
      <c r="AO680" s="197">
        <f t="shared" si="43"/>
        <v>0</v>
      </c>
      <c r="AP680" s="91"/>
      <c r="AQ680" s="217"/>
      <c r="AR680" s="103"/>
      <c r="AS680" s="264"/>
      <c r="AT680" s="94"/>
      <c r="AU680" s="84"/>
      <c r="AV680" s="136"/>
      <c r="AW680" s="77"/>
      <c r="AX680" s="137"/>
      <c r="AY680" s="138"/>
      <c r="AZ680" s="220">
        <f t="shared" si="40"/>
        <v>0</v>
      </c>
      <c r="BA680" s="220">
        <f t="shared" si="41"/>
        <v>0</v>
      </c>
    </row>
    <row r="681" spans="1:53" ht="50.1" customHeight="1" x14ac:dyDescent="0.25">
      <c r="A681" s="17">
        <f t="shared" si="42"/>
        <v>667</v>
      </c>
      <c r="B681" s="228"/>
      <c r="C681" s="221"/>
      <c r="D681" s="88"/>
      <c r="E681" s="100"/>
      <c r="F681" s="95"/>
      <c r="G681" s="114"/>
      <c r="H681" s="96"/>
      <c r="I681" s="97"/>
      <c r="J681" s="98"/>
      <c r="K681" s="101"/>
      <c r="L681" s="124"/>
      <c r="M681" s="333"/>
      <c r="N681" s="341"/>
      <c r="O681" s="82"/>
      <c r="P681" s="93"/>
      <c r="Q681" s="82"/>
      <c r="R681" s="93"/>
      <c r="S681" s="298"/>
      <c r="T681" s="304"/>
      <c r="U681" s="307"/>
      <c r="V681" s="309"/>
      <c r="W681" s="248"/>
      <c r="X681" s="342"/>
      <c r="Y681" s="336"/>
      <c r="Z681" s="123"/>
      <c r="AA681" s="33"/>
      <c r="AB681" s="123"/>
      <c r="AC681" s="33"/>
      <c r="AD681" s="123"/>
      <c r="AE681" s="33"/>
      <c r="AF681" s="123"/>
      <c r="AG681" s="243"/>
      <c r="AH681" s="33"/>
      <c r="AI681" s="245"/>
      <c r="AJ681" s="125"/>
      <c r="AK681" s="91"/>
      <c r="AL681" s="126"/>
      <c r="AM681" s="91"/>
      <c r="AN681" s="91"/>
      <c r="AO681" s="197">
        <f t="shared" si="43"/>
        <v>0</v>
      </c>
      <c r="AP681" s="126"/>
      <c r="AQ681" s="216"/>
      <c r="AR681" s="127"/>
      <c r="AS681" s="269"/>
      <c r="AT681" s="94"/>
      <c r="AU681" s="84"/>
      <c r="AV681" s="80"/>
      <c r="AW681" s="81"/>
      <c r="AX681" s="77"/>
      <c r="AY681" s="107"/>
      <c r="AZ681" s="220">
        <f t="shared" si="40"/>
        <v>0</v>
      </c>
      <c r="BA681" s="220">
        <f t="shared" si="41"/>
        <v>0</v>
      </c>
    </row>
    <row r="682" spans="1:53" ht="50.1" customHeight="1" x14ac:dyDescent="0.25">
      <c r="A682" s="17">
        <f t="shared" si="42"/>
        <v>668</v>
      </c>
      <c r="B682" s="229"/>
      <c r="C682" s="222"/>
      <c r="D682" s="112"/>
      <c r="E682" s="128"/>
      <c r="F682" s="129"/>
      <c r="G682" s="130"/>
      <c r="H682" s="131"/>
      <c r="I682" s="132"/>
      <c r="J682" s="108"/>
      <c r="K682" s="133"/>
      <c r="L682" s="134"/>
      <c r="M682" s="334"/>
      <c r="N682" s="343"/>
      <c r="O682" s="135"/>
      <c r="P682" s="82"/>
      <c r="Q682" s="135"/>
      <c r="R682" s="82"/>
      <c r="S682" s="299"/>
      <c r="T682" s="305"/>
      <c r="U682" s="298"/>
      <c r="V682" s="304"/>
      <c r="W682" s="249"/>
      <c r="X682" s="344"/>
      <c r="Y682" s="337"/>
      <c r="Z682" s="33"/>
      <c r="AA682" s="83"/>
      <c r="AB682" s="33"/>
      <c r="AC682" s="83"/>
      <c r="AD682" s="33"/>
      <c r="AE682" s="83"/>
      <c r="AF682" s="33"/>
      <c r="AG682" s="244"/>
      <c r="AH682" s="83"/>
      <c r="AI682" s="246"/>
      <c r="AJ682" s="102"/>
      <c r="AK682" s="92"/>
      <c r="AL682" s="91"/>
      <c r="AM682" s="92"/>
      <c r="AN682" s="351"/>
      <c r="AO682" s="197">
        <f t="shared" si="43"/>
        <v>0</v>
      </c>
      <c r="AP682" s="91"/>
      <c r="AQ682" s="217"/>
      <c r="AR682" s="103"/>
      <c r="AS682" s="264"/>
      <c r="AT682" s="94"/>
      <c r="AU682" s="84"/>
      <c r="AV682" s="136"/>
      <c r="AW682" s="77"/>
      <c r="AX682" s="137"/>
      <c r="AY682" s="138"/>
      <c r="AZ682" s="220">
        <f t="shared" si="40"/>
        <v>0</v>
      </c>
      <c r="BA682" s="220">
        <f t="shared" si="41"/>
        <v>0</v>
      </c>
    </row>
    <row r="683" spans="1:53" ht="50.1" customHeight="1" x14ac:dyDescent="0.25">
      <c r="A683" s="17">
        <f t="shared" si="42"/>
        <v>669</v>
      </c>
      <c r="B683" s="228"/>
      <c r="C683" s="221"/>
      <c r="D683" s="88"/>
      <c r="E683" s="100"/>
      <c r="F683" s="95"/>
      <c r="G683" s="114"/>
      <c r="H683" s="96"/>
      <c r="I683" s="97"/>
      <c r="J683" s="98"/>
      <c r="K683" s="101"/>
      <c r="L683" s="124"/>
      <c r="M683" s="333"/>
      <c r="N683" s="341"/>
      <c r="O683" s="82"/>
      <c r="P683" s="93"/>
      <c r="Q683" s="82"/>
      <c r="R683" s="93"/>
      <c r="S683" s="298"/>
      <c r="T683" s="304"/>
      <c r="U683" s="307"/>
      <c r="V683" s="309"/>
      <c r="W683" s="248"/>
      <c r="X683" s="342"/>
      <c r="Y683" s="336"/>
      <c r="Z683" s="123"/>
      <c r="AA683" s="33"/>
      <c r="AB683" s="123"/>
      <c r="AC683" s="33"/>
      <c r="AD683" s="123"/>
      <c r="AE683" s="33"/>
      <c r="AF683" s="123"/>
      <c r="AG683" s="243"/>
      <c r="AH683" s="33"/>
      <c r="AI683" s="245"/>
      <c r="AJ683" s="125"/>
      <c r="AK683" s="91"/>
      <c r="AL683" s="126"/>
      <c r="AM683" s="91"/>
      <c r="AN683" s="91"/>
      <c r="AO683" s="197">
        <f t="shared" si="43"/>
        <v>0</v>
      </c>
      <c r="AP683" s="126"/>
      <c r="AQ683" s="216"/>
      <c r="AR683" s="127"/>
      <c r="AS683" s="269"/>
      <c r="AT683" s="94"/>
      <c r="AU683" s="84"/>
      <c r="AV683" s="80"/>
      <c r="AW683" s="81"/>
      <c r="AX683" s="77"/>
      <c r="AY683" s="107"/>
      <c r="AZ683" s="220">
        <f t="shared" si="40"/>
        <v>0</v>
      </c>
      <c r="BA683" s="220">
        <f t="shared" si="41"/>
        <v>0</v>
      </c>
    </row>
    <row r="684" spans="1:53" ht="50.1" customHeight="1" x14ac:dyDescent="0.25">
      <c r="A684" s="17">
        <f t="shared" si="42"/>
        <v>670</v>
      </c>
      <c r="B684" s="229"/>
      <c r="C684" s="222"/>
      <c r="D684" s="112"/>
      <c r="E684" s="128"/>
      <c r="F684" s="129"/>
      <c r="G684" s="130"/>
      <c r="H684" s="131"/>
      <c r="I684" s="132"/>
      <c r="J684" s="108"/>
      <c r="K684" s="133"/>
      <c r="L684" s="134"/>
      <c r="M684" s="334"/>
      <c r="N684" s="343"/>
      <c r="O684" s="135"/>
      <c r="P684" s="82"/>
      <c r="Q684" s="135"/>
      <c r="R684" s="82"/>
      <c r="S684" s="299"/>
      <c r="T684" s="305"/>
      <c r="U684" s="298"/>
      <c r="V684" s="304"/>
      <c r="W684" s="249"/>
      <c r="X684" s="344"/>
      <c r="Y684" s="337"/>
      <c r="Z684" s="33"/>
      <c r="AA684" s="83"/>
      <c r="AB684" s="33"/>
      <c r="AC684" s="83"/>
      <c r="AD684" s="33"/>
      <c r="AE684" s="83"/>
      <c r="AF684" s="33"/>
      <c r="AG684" s="244"/>
      <c r="AH684" s="83"/>
      <c r="AI684" s="246"/>
      <c r="AJ684" s="102"/>
      <c r="AK684" s="92"/>
      <c r="AL684" s="91"/>
      <c r="AM684" s="92"/>
      <c r="AN684" s="351"/>
      <c r="AO684" s="197">
        <f t="shared" si="43"/>
        <v>0</v>
      </c>
      <c r="AP684" s="91"/>
      <c r="AQ684" s="217"/>
      <c r="AR684" s="103"/>
      <c r="AS684" s="264"/>
      <c r="AT684" s="94"/>
      <c r="AU684" s="84"/>
      <c r="AV684" s="136"/>
      <c r="AW684" s="77"/>
      <c r="AX684" s="137"/>
      <c r="AY684" s="138"/>
      <c r="AZ684" s="220">
        <f t="shared" si="40"/>
        <v>0</v>
      </c>
      <c r="BA684" s="220">
        <f t="shared" si="41"/>
        <v>0</v>
      </c>
    </row>
    <row r="685" spans="1:53" ht="50.1" customHeight="1" x14ac:dyDescent="0.25">
      <c r="A685" s="17">
        <f t="shared" si="42"/>
        <v>671</v>
      </c>
      <c r="B685" s="228"/>
      <c r="C685" s="221"/>
      <c r="D685" s="88"/>
      <c r="E685" s="100"/>
      <c r="F685" s="95"/>
      <c r="G685" s="114"/>
      <c r="H685" s="96"/>
      <c r="I685" s="97"/>
      <c r="J685" s="98"/>
      <c r="K685" s="101"/>
      <c r="L685" s="124"/>
      <c r="M685" s="333"/>
      <c r="N685" s="341"/>
      <c r="O685" s="82"/>
      <c r="P685" s="93"/>
      <c r="Q685" s="82"/>
      <c r="R685" s="93"/>
      <c r="S685" s="298"/>
      <c r="T685" s="304"/>
      <c r="U685" s="307"/>
      <c r="V685" s="309"/>
      <c r="W685" s="248"/>
      <c r="X685" s="342"/>
      <c r="Y685" s="336"/>
      <c r="Z685" s="123"/>
      <c r="AA685" s="33"/>
      <c r="AB685" s="123"/>
      <c r="AC685" s="33"/>
      <c r="AD685" s="123"/>
      <c r="AE685" s="33"/>
      <c r="AF685" s="123"/>
      <c r="AG685" s="243"/>
      <c r="AH685" s="33"/>
      <c r="AI685" s="245"/>
      <c r="AJ685" s="125"/>
      <c r="AK685" s="91"/>
      <c r="AL685" s="126"/>
      <c r="AM685" s="91"/>
      <c r="AN685" s="91"/>
      <c r="AO685" s="197">
        <f t="shared" si="43"/>
        <v>0</v>
      </c>
      <c r="AP685" s="126"/>
      <c r="AQ685" s="216"/>
      <c r="AR685" s="127"/>
      <c r="AS685" s="269"/>
      <c r="AT685" s="94"/>
      <c r="AU685" s="84"/>
      <c r="AV685" s="80"/>
      <c r="AW685" s="81"/>
      <c r="AX685" s="77"/>
      <c r="AY685" s="107"/>
      <c r="AZ685" s="220">
        <f t="shared" si="40"/>
        <v>0</v>
      </c>
      <c r="BA685" s="220">
        <f t="shared" si="41"/>
        <v>0</v>
      </c>
    </row>
    <row r="686" spans="1:53" ht="50.1" customHeight="1" x14ac:dyDescent="0.25">
      <c r="A686" s="17">
        <f t="shared" si="42"/>
        <v>672</v>
      </c>
      <c r="B686" s="229"/>
      <c r="C686" s="222"/>
      <c r="D686" s="112"/>
      <c r="E686" s="128"/>
      <c r="F686" s="129"/>
      <c r="G686" s="130"/>
      <c r="H686" s="131"/>
      <c r="I686" s="132"/>
      <c r="J686" s="108"/>
      <c r="K686" s="133"/>
      <c r="L686" s="134"/>
      <c r="M686" s="334"/>
      <c r="N686" s="343"/>
      <c r="O686" s="135"/>
      <c r="P686" s="82"/>
      <c r="Q686" s="135"/>
      <c r="R686" s="82"/>
      <c r="S686" s="299"/>
      <c r="T686" s="305"/>
      <c r="U686" s="298"/>
      <c r="V686" s="304"/>
      <c r="W686" s="249"/>
      <c r="X686" s="344"/>
      <c r="Y686" s="337"/>
      <c r="Z686" s="33"/>
      <c r="AA686" s="83"/>
      <c r="AB686" s="33"/>
      <c r="AC686" s="83"/>
      <c r="AD686" s="33"/>
      <c r="AE686" s="83"/>
      <c r="AF686" s="33"/>
      <c r="AG686" s="244"/>
      <c r="AH686" s="83"/>
      <c r="AI686" s="246"/>
      <c r="AJ686" s="102"/>
      <c r="AK686" s="92"/>
      <c r="AL686" s="91"/>
      <c r="AM686" s="92"/>
      <c r="AN686" s="351"/>
      <c r="AO686" s="197">
        <f t="shared" si="43"/>
        <v>0</v>
      </c>
      <c r="AP686" s="91"/>
      <c r="AQ686" s="217"/>
      <c r="AR686" s="103"/>
      <c r="AS686" s="264"/>
      <c r="AT686" s="94"/>
      <c r="AU686" s="84"/>
      <c r="AV686" s="136"/>
      <c r="AW686" s="77"/>
      <c r="AX686" s="137"/>
      <c r="AY686" s="138"/>
      <c r="AZ686" s="220">
        <f t="shared" si="40"/>
        <v>0</v>
      </c>
      <c r="BA686" s="220">
        <f t="shared" si="41"/>
        <v>0</v>
      </c>
    </row>
    <row r="687" spans="1:53" ht="50.1" customHeight="1" x14ac:dyDescent="0.25">
      <c r="A687" s="17">
        <f t="shared" si="42"/>
        <v>673</v>
      </c>
      <c r="B687" s="228"/>
      <c r="C687" s="221"/>
      <c r="D687" s="88"/>
      <c r="E687" s="100"/>
      <c r="F687" s="95"/>
      <c r="G687" s="114"/>
      <c r="H687" s="96"/>
      <c r="I687" s="97"/>
      <c r="J687" s="98"/>
      <c r="K687" s="101"/>
      <c r="L687" s="124"/>
      <c r="M687" s="333"/>
      <c r="N687" s="341"/>
      <c r="O687" s="82"/>
      <c r="P687" s="93"/>
      <c r="Q687" s="82"/>
      <c r="R687" s="93"/>
      <c r="S687" s="298"/>
      <c r="T687" s="304"/>
      <c r="U687" s="307"/>
      <c r="V687" s="309"/>
      <c r="W687" s="248"/>
      <c r="X687" s="342"/>
      <c r="Y687" s="336"/>
      <c r="Z687" s="123"/>
      <c r="AA687" s="33"/>
      <c r="AB687" s="123"/>
      <c r="AC687" s="33"/>
      <c r="AD687" s="123"/>
      <c r="AE687" s="33"/>
      <c r="AF687" s="123"/>
      <c r="AG687" s="243"/>
      <c r="AH687" s="33"/>
      <c r="AI687" s="245"/>
      <c r="AJ687" s="125"/>
      <c r="AK687" s="91"/>
      <c r="AL687" s="126"/>
      <c r="AM687" s="91"/>
      <c r="AN687" s="91"/>
      <c r="AO687" s="197">
        <f t="shared" si="43"/>
        <v>0</v>
      </c>
      <c r="AP687" s="126"/>
      <c r="AQ687" s="216"/>
      <c r="AR687" s="127"/>
      <c r="AS687" s="269"/>
      <c r="AT687" s="94"/>
      <c r="AU687" s="84"/>
      <c r="AV687" s="80"/>
      <c r="AW687" s="81"/>
      <c r="AX687" s="77"/>
      <c r="AY687" s="107"/>
      <c r="AZ687" s="220">
        <f t="shared" si="40"/>
        <v>0</v>
      </c>
      <c r="BA687" s="220">
        <f t="shared" si="41"/>
        <v>0</v>
      </c>
    </row>
    <row r="688" spans="1:53" ht="50.1" customHeight="1" x14ac:dyDescent="0.25">
      <c r="A688" s="17">
        <f t="shared" si="42"/>
        <v>674</v>
      </c>
      <c r="B688" s="229"/>
      <c r="C688" s="222"/>
      <c r="D688" s="112"/>
      <c r="E688" s="128"/>
      <c r="F688" s="129"/>
      <c r="G688" s="130"/>
      <c r="H688" s="131"/>
      <c r="I688" s="132"/>
      <c r="J688" s="108"/>
      <c r="K688" s="133"/>
      <c r="L688" s="134"/>
      <c r="M688" s="334"/>
      <c r="N688" s="343"/>
      <c r="O688" s="135"/>
      <c r="P688" s="82"/>
      <c r="Q688" s="135"/>
      <c r="R688" s="82"/>
      <c r="S688" s="299"/>
      <c r="T688" s="305"/>
      <c r="U688" s="298"/>
      <c r="V688" s="304"/>
      <c r="W688" s="249"/>
      <c r="X688" s="344"/>
      <c r="Y688" s="337"/>
      <c r="Z688" s="33"/>
      <c r="AA688" s="83"/>
      <c r="AB688" s="33"/>
      <c r="AC688" s="83"/>
      <c r="AD688" s="33"/>
      <c r="AE688" s="83"/>
      <c r="AF688" s="33"/>
      <c r="AG688" s="244"/>
      <c r="AH688" s="83"/>
      <c r="AI688" s="246"/>
      <c r="AJ688" s="102"/>
      <c r="AK688" s="92"/>
      <c r="AL688" s="91"/>
      <c r="AM688" s="92"/>
      <c r="AN688" s="351"/>
      <c r="AO688" s="197">
        <f t="shared" si="43"/>
        <v>0</v>
      </c>
      <c r="AP688" s="91"/>
      <c r="AQ688" s="217"/>
      <c r="AR688" s="103"/>
      <c r="AS688" s="264"/>
      <c r="AT688" s="94"/>
      <c r="AU688" s="84"/>
      <c r="AV688" s="136"/>
      <c r="AW688" s="77"/>
      <c r="AX688" s="137"/>
      <c r="AY688" s="138"/>
      <c r="AZ688" s="220">
        <f t="shared" si="40"/>
        <v>0</v>
      </c>
      <c r="BA688" s="220">
        <f t="shared" si="41"/>
        <v>0</v>
      </c>
    </row>
    <row r="689" spans="1:53" ht="50.1" customHeight="1" x14ac:dyDescent="0.25">
      <c r="A689" s="17">
        <f t="shared" si="42"/>
        <v>675</v>
      </c>
      <c r="B689" s="228"/>
      <c r="C689" s="221"/>
      <c r="D689" s="88"/>
      <c r="E689" s="100"/>
      <c r="F689" s="95"/>
      <c r="G689" s="114"/>
      <c r="H689" s="96"/>
      <c r="I689" s="97"/>
      <c r="J689" s="98"/>
      <c r="K689" s="101"/>
      <c r="L689" s="124"/>
      <c r="M689" s="333"/>
      <c r="N689" s="341"/>
      <c r="O689" s="82"/>
      <c r="P689" s="93"/>
      <c r="Q689" s="82"/>
      <c r="R689" s="93"/>
      <c r="S689" s="298"/>
      <c r="T689" s="304"/>
      <c r="U689" s="307"/>
      <c r="V689" s="309"/>
      <c r="W689" s="248"/>
      <c r="X689" s="342"/>
      <c r="Y689" s="336"/>
      <c r="Z689" s="123"/>
      <c r="AA689" s="33"/>
      <c r="AB689" s="123"/>
      <c r="AC689" s="33"/>
      <c r="AD689" s="123"/>
      <c r="AE689" s="33"/>
      <c r="AF689" s="123"/>
      <c r="AG689" s="243"/>
      <c r="AH689" s="33"/>
      <c r="AI689" s="245"/>
      <c r="AJ689" s="125"/>
      <c r="AK689" s="91"/>
      <c r="AL689" s="126"/>
      <c r="AM689" s="91"/>
      <c r="AN689" s="91"/>
      <c r="AO689" s="197">
        <f t="shared" si="43"/>
        <v>0</v>
      </c>
      <c r="AP689" s="126"/>
      <c r="AQ689" s="216"/>
      <c r="AR689" s="127"/>
      <c r="AS689" s="269"/>
      <c r="AT689" s="94"/>
      <c r="AU689" s="84"/>
      <c r="AV689" s="80"/>
      <c r="AW689" s="81"/>
      <c r="AX689" s="77"/>
      <c r="AY689" s="107"/>
      <c r="AZ689" s="220">
        <f t="shared" si="40"/>
        <v>0</v>
      </c>
      <c r="BA689" s="220">
        <f t="shared" si="41"/>
        <v>0</v>
      </c>
    </row>
    <row r="690" spans="1:53" ht="50.1" customHeight="1" x14ac:dyDescent="0.25">
      <c r="A690" s="17">
        <f t="shared" si="42"/>
        <v>676</v>
      </c>
      <c r="B690" s="229"/>
      <c r="C690" s="222"/>
      <c r="D690" s="112"/>
      <c r="E690" s="128"/>
      <c r="F690" s="129"/>
      <c r="G690" s="130"/>
      <c r="H690" s="131"/>
      <c r="I690" s="132"/>
      <c r="J690" s="108"/>
      <c r="K690" s="133"/>
      <c r="L690" s="134"/>
      <c r="M690" s="334"/>
      <c r="N690" s="343"/>
      <c r="O690" s="135"/>
      <c r="P690" s="82"/>
      <c r="Q690" s="135"/>
      <c r="R690" s="82"/>
      <c r="S690" s="299"/>
      <c r="T690" s="305"/>
      <c r="U690" s="298"/>
      <c r="V690" s="304"/>
      <c r="W690" s="249"/>
      <c r="X690" s="344"/>
      <c r="Y690" s="337"/>
      <c r="Z690" s="33"/>
      <c r="AA690" s="83"/>
      <c r="AB690" s="33"/>
      <c r="AC690" s="83"/>
      <c r="AD690" s="33"/>
      <c r="AE690" s="83"/>
      <c r="AF690" s="33"/>
      <c r="AG690" s="244"/>
      <c r="AH690" s="83"/>
      <c r="AI690" s="246"/>
      <c r="AJ690" s="102"/>
      <c r="AK690" s="92"/>
      <c r="AL690" s="91"/>
      <c r="AM690" s="92"/>
      <c r="AN690" s="351"/>
      <c r="AO690" s="197">
        <f t="shared" si="43"/>
        <v>0</v>
      </c>
      <c r="AP690" s="91"/>
      <c r="AQ690" s="217"/>
      <c r="AR690" s="103"/>
      <c r="AS690" s="264"/>
      <c r="AT690" s="94"/>
      <c r="AU690" s="84"/>
      <c r="AV690" s="136"/>
      <c r="AW690" s="77"/>
      <c r="AX690" s="137"/>
      <c r="AY690" s="138"/>
      <c r="AZ690" s="220">
        <f t="shared" si="40"/>
        <v>0</v>
      </c>
      <c r="BA690" s="220">
        <f t="shared" si="41"/>
        <v>0</v>
      </c>
    </row>
    <row r="691" spans="1:53" ht="50.1" customHeight="1" x14ac:dyDescent="0.25">
      <c r="A691" s="17">
        <f t="shared" si="42"/>
        <v>677</v>
      </c>
      <c r="B691" s="228"/>
      <c r="C691" s="221"/>
      <c r="D691" s="88"/>
      <c r="E691" s="100"/>
      <c r="F691" s="95"/>
      <c r="G691" s="114"/>
      <c r="H691" s="96"/>
      <c r="I691" s="97"/>
      <c r="J691" s="98"/>
      <c r="K691" s="101"/>
      <c r="L691" s="124"/>
      <c r="M691" s="333"/>
      <c r="N691" s="341"/>
      <c r="O691" s="82"/>
      <c r="P691" s="93"/>
      <c r="Q691" s="82"/>
      <c r="R691" s="93"/>
      <c r="S691" s="298"/>
      <c r="T691" s="304"/>
      <c r="U691" s="307"/>
      <c r="V691" s="309"/>
      <c r="W691" s="248"/>
      <c r="X691" s="342"/>
      <c r="Y691" s="336"/>
      <c r="Z691" s="123"/>
      <c r="AA691" s="33"/>
      <c r="AB691" s="123"/>
      <c r="AC691" s="33"/>
      <c r="AD691" s="123"/>
      <c r="AE691" s="33"/>
      <c r="AF691" s="123"/>
      <c r="AG691" s="243"/>
      <c r="AH691" s="33"/>
      <c r="AI691" s="245"/>
      <c r="AJ691" s="125"/>
      <c r="AK691" s="91"/>
      <c r="AL691" s="126"/>
      <c r="AM691" s="91"/>
      <c r="AN691" s="91"/>
      <c r="AO691" s="197">
        <f t="shared" si="43"/>
        <v>0</v>
      </c>
      <c r="AP691" s="126"/>
      <c r="AQ691" s="216"/>
      <c r="AR691" s="127"/>
      <c r="AS691" s="269"/>
      <c r="AT691" s="94"/>
      <c r="AU691" s="84"/>
      <c r="AV691" s="80"/>
      <c r="AW691" s="81"/>
      <c r="AX691" s="77"/>
      <c r="AY691" s="107"/>
      <c r="AZ691" s="220">
        <f t="shared" si="40"/>
        <v>0</v>
      </c>
      <c r="BA691" s="220">
        <f t="shared" si="41"/>
        <v>0</v>
      </c>
    </row>
    <row r="692" spans="1:53" ht="50.1" customHeight="1" x14ac:dyDescent="0.25">
      <c r="A692" s="17">
        <f t="shared" si="42"/>
        <v>678</v>
      </c>
      <c r="B692" s="229"/>
      <c r="C692" s="222"/>
      <c r="D692" s="112"/>
      <c r="E692" s="128"/>
      <c r="F692" s="129"/>
      <c r="G692" s="130"/>
      <c r="H692" s="131"/>
      <c r="I692" s="132"/>
      <c r="J692" s="108"/>
      <c r="K692" s="133"/>
      <c r="L692" s="134"/>
      <c r="M692" s="334"/>
      <c r="N692" s="343"/>
      <c r="O692" s="135"/>
      <c r="P692" s="82"/>
      <c r="Q692" s="135"/>
      <c r="R692" s="82"/>
      <c r="S692" s="299"/>
      <c r="T692" s="305"/>
      <c r="U692" s="298"/>
      <c r="V692" s="304"/>
      <c r="W692" s="249"/>
      <c r="X692" s="344"/>
      <c r="Y692" s="337"/>
      <c r="Z692" s="33"/>
      <c r="AA692" s="83"/>
      <c r="AB692" s="33"/>
      <c r="AC692" s="83"/>
      <c r="AD692" s="33"/>
      <c r="AE692" s="83"/>
      <c r="AF692" s="33"/>
      <c r="AG692" s="244"/>
      <c r="AH692" s="83"/>
      <c r="AI692" s="246"/>
      <c r="AJ692" s="102"/>
      <c r="AK692" s="92"/>
      <c r="AL692" s="91"/>
      <c r="AM692" s="92"/>
      <c r="AN692" s="351"/>
      <c r="AO692" s="197">
        <f t="shared" si="43"/>
        <v>0</v>
      </c>
      <c r="AP692" s="91"/>
      <c r="AQ692" s="217"/>
      <c r="AR692" s="103"/>
      <c r="AS692" s="264"/>
      <c r="AT692" s="94"/>
      <c r="AU692" s="84"/>
      <c r="AV692" s="136"/>
      <c r="AW692" s="77"/>
      <c r="AX692" s="137"/>
      <c r="AY692" s="138"/>
      <c r="AZ692" s="220">
        <f t="shared" si="40"/>
        <v>0</v>
      </c>
      <c r="BA692" s="220">
        <f t="shared" si="41"/>
        <v>0</v>
      </c>
    </row>
    <row r="693" spans="1:53" ht="50.1" customHeight="1" x14ac:dyDescent="0.25">
      <c r="A693" s="17">
        <f t="shared" si="42"/>
        <v>679</v>
      </c>
      <c r="B693" s="228"/>
      <c r="C693" s="221"/>
      <c r="D693" s="88"/>
      <c r="E693" s="100"/>
      <c r="F693" s="95"/>
      <c r="G693" s="114"/>
      <c r="H693" s="96"/>
      <c r="I693" s="97"/>
      <c r="J693" s="98"/>
      <c r="K693" s="101"/>
      <c r="L693" s="124"/>
      <c r="M693" s="333"/>
      <c r="N693" s="341"/>
      <c r="O693" s="82"/>
      <c r="P693" s="93"/>
      <c r="Q693" s="82"/>
      <c r="R693" s="93"/>
      <c r="S693" s="298"/>
      <c r="T693" s="304"/>
      <c r="U693" s="307"/>
      <c r="V693" s="309"/>
      <c r="W693" s="248"/>
      <c r="X693" s="342"/>
      <c r="Y693" s="336"/>
      <c r="Z693" s="123"/>
      <c r="AA693" s="33"/>
      <c r="AB693" s="123"/>
      <c r="AC693" s="33"/>
      <c r="AD693" s="123"/>
      <c r="AE693" s="33"/>
      <c r="AF693" s="123"/>
      <c r="AG693" s="243"/>
      <c r="AH693" s="33"/>
      <c r="AI693" s="245"/>
      <c r="AJ693" s="125"/>
      <c r="AK693" s="91"/>
      <c r="AL693" s="126"/>
      <c r="AM693" s="91"/>
      <c r="AN693" s="91"/>
      <c r="AO693" s="197">
        <f t="shared" si="43"/>
        <v>0</v>
      </c>
      <c r="AP693" s="126"/>
      <c r="AQ693" s="216"/>
      <c r="AR693" s="127"/>
      <c r="AS693" s="269"/>
      <c r="AT693" s="94"/>
      <c r="AU693" s="84"/>
      <c r="AV693" s="80"/>
      <c r="AW693" s="81"/>
      <c r="AX693" s="77"/>
      <c r="AY693" s="107"/>
      <c r="AZ693" s="220">
        <f t="shared" si="40"/>
        <v>0</v>
      </c>
      <c r="BA693" s="220">
        <f t="shared" si="41"/>
        <v>0</v>
      </c>
    </row>
    <row r="694" spans="1:53" ht="50.1" customHeight="1" x14ac:dyDescent="0.25">
      <c r="A694" s="17">
        <f t="shared" si="42"/>
        <v>680</v>
      </c>
      <c r="B694" s="229"/>
      <c r="C694" s="222"/>
      <c r="D694" s="112"/>
      <c r="E694" s="128"/>
      <c r="F694" s="129"/>
      <c r="G694" s="130"/>
      <c r="H694" s="131"/>
      <c r="I694" s="132"/>
      <c r="J694" s="108"/>
      <c r="K694" s="133"/>
      <c r="L694" s="134"/>
      <c r="M694" s="334"/>
      <c r="N694" s="343"/>
      <c r="O694" s="135"/>
      <c r="P694" s="82"/>
      <c r="Q694" s="135"/>
      <c r="R694" s="82"/>
      <c r="S694" s="299"/>
      <c r="T694" s="305"/>
      <c r="U694" s="298"/>
      <c r="V694" s="304"/>
      <c r="W694" s="249"/>
      <c r="X694" s="344"/>
      <c r="Y694" s="337"/>
      <c r="Z694" s="33"/>
      <c r="AA694" s="83"/>
      <c r="AB694" s="33"/>
      <c r="AC694" s="83"/>
      <c r="AD694" s="33"/>
      <c r="AE694" s="83"/>
      <c r="AF694" s="33"/>
      <c r="AG694" s="244"/>
      <c r="AH694" s="83"/>
      <c r="AI694" s="246"/>
      <c r="AJ694" s="102"/>
      <c r="AK694" s="92"/>
      <c r="AL694" s="91"/>
      <c r="AM694" s="92"/>
      <c r="AN694" s="351"/>
      <c r="AO694" s="197">
        <f t="shared" si="43"/>
        <v>0</v>
      </c>
      <c r="AP694" s="91"/>
      <c r="AQ694" s="217"/>
      <c r="AR694" s="103"/>
      <c r="AS694" s="264"/>
      <c r="AT694" s="94"/>
      <c r="AU694" s="84"/>
      <c r="AV694" s="136"/>
      <c r="AW694" s="77"/>
      <c r="AX694" s="137"/>
      <c r="AY694" s="138"/>
      <c r="AZ694" s="220">
        <f t="shared" si="40"/>
        <v>0</v>
      </c>
      <c r="BA694" s="220">
        <f t="shared" si="41"/>
        <v>0</v>
      </c>
    </row>
    <row r="695" spans="1:53" ht="50.1" customHeight="1" x14ac:dyDescent="0.25">
      <c r="A695" s="17">
        <f t="shared" si="42"/>
        <v>681</v>
      </c>
      <c r="B695" s="228"/>
      <c r="C695" s="221"/>
      <c r="D695" s="88"/>
      <c r="E695" s="100"/>
      <c r="F695" s="95"/>
      <c r="G695" s="114"/>
      <c r="H695" s="96"/>
      <c r="I695" s="97"/>
      <c r="J695" s="98"/>
      <c r="K695" s="101"/>
      <c r="L695" s="124"/>
      <c r="M695" s="333"/>
      <c r="N695" s="341"/>
      <c r="O695" s="82"/>
      <c r="P695" s="93"/>
      <c r="Q695" s="82"/>
      <c r="R695" s="93"/>
      <c r="S695" s="298"/>
      <c r="T695" s="304"/>
      <c r="U695" s="307"/>
      <c r="V695" s="309"/>
      <c r="W695" s="248"/>
      <c r="X695" s="342"/>
      <c r="Y695" s="336"/>
      <c r="Z695" s="123"/>
      <c r="AA695" s="33"/>
      <c r="AB695" s="123"/>
      <c r="AC695" s="33"/>
      <c r="AD695" s="123"/>
      <c r="AE695" s="33"/>
      <c r="AF695" s="123"/>
      <c r="AG695" s="243"/>
      <c r="AH695" s="33"/>
      <c r="AI695" s="245"/>
      <c r="AJ695" s="125"/>
      <c r="AK695" s="91"/>
      <c r="AL695" s="126"/>
      <c r="AM695" s="91"/>
      <c r="AN695" s="91"/>
      <c r="AO695" s="197">
        <f t="shared" si="43"/>
        <v>0</v>
      </c>
      <c r="AP695" s="126"/>
      <c r="AQ695" s="216"/>
      <c r="AR695" s="127"/>
      <c r="AS695" s="269"/>
      <c r="AT695" s="94"/>
      <c r="AU695" s="84"/>
      <c r="AV695" s="80"/>
      <c r="AW695" s="81"/>
      <c r="AX695" s="77"/>
      <c r="AY695" s="107"/>
      <c r="AZ695" s="220">
        <f t="shared" si="40"/>
        <v>0</v>
      </c>
      <c r="BA695" s="220">
        <f t="shared" si="41"/>
        <v>0</v>
      </c>
    </row>
    <row r="696" spans="1:53" ht="50.1" customHeight="1" x14ac:dyDescent="0.25">
      <c r="A696" s="17">
        <f t="shared" si="42"/>
        <v>682</v>
      </c>
      <c r="B696" s="229"/>
      <c r="C696" s="222"/>
      <c r="D696" s="112"/>
      <c r="E696" s="128"/>
      <c r="F696" s="129"/>
      <c r="G696" s="130"/>
      <c r="H696" s="131"/>
      <c r="I696" s="132"/>
      <c r="J696" s="108"/>
      <c r="K696" s="133"/>
      <c r="L696" s="134"/>
      <c r="M696" s="334"/>
      <c r="N696" s="343"/>
      <c r="O696" s="135"/>
      <c r="P696" s="82"/>
      <c r="Q696" s="135"/>
      <c r="R696" s="82"/>
      <c r="S696" s="299"/>
      <c r="T696" s="305"/>
      <c r="U696" s="298"/>
      <c r="V696" s="304"/>
      <c r="W696" s="249"/>
      <c r="X696" s="344"/>
      <c r="Y696" s="337"/>
      <c r="Z696" s="33"/>
      <c r="AA696" s="83"/>
      <c r="AB696" s="33"/>
      <c r="AC696" s="83"/>
      <c r="AD696" s="33"/>
      <c r="AE696" s="83"/>
      <c r="AF696" s="33"/>
      <c r="AG696" s="244"/>
      <c r="AH696" s="83"/>
      <c r="AI696" s="246"/>
      <c r="AJ696" s="102"/>
      <c r="AK696" s="92"/>
      <c r="AL696" s="91"/>
      <c r="AM696" s="92"/>
      <c r="AN696" s="351"/>
      <c r="AO696" s="197">
        <f t="shared" si="43"/>
        <v>0</v>
      </c>
      <c r="AP696" s="91"/>
      <c r="AQ696" s="217"/>
      <c r="AR696" s="103"/>
      <c r="AS696" s="264"/>
      <c r="AT696" s="94"/>
      <c r="AU696" s="84"/>
      <c r="AV696" s="136"/>
      <c r="AW696" s="77"/>
      <c r="AX696" s="137"/>
      <c r="AY696" s="138"/>
      <c r="AZ696" s="220">
        <f t="shared" si="40"/>
        <v>0</v>
      </c>
      <c r="BA696" s="220">
        <f t="shared" si="41"/>
        <v>0</v>
      </c>
    </row>
    <row r="697" spans="1:53" ht="50.1" customHeight="1" x14ac:dyDescent="0.25">
      <c r="A697" s="17">
        <f t="shared" si="42"/>
        <v>683</v>
      </c>
      <c r="B697" s="228"/>
      <c r="C697" s="221"/>
      <c r="D697" s="88"/>
      <c r="E697" s="100"/>
      <c r="F697" s="95"/>
      <c r="G697" s="114"/>
      <c r="H697" s="96"/>
      <c r="I697" s="97"/>
      <c r="J697" s="98"/>
      <c r="K697" s="101"/>
      <c r="L697" s="124"/>
      <c r="M697" s="333"/>
      <c r="N697" s="341"/>
      <c r="O697" s="82"/>
      <c r="P697" s="93"/>
      <c r="Q697" s="82"/>
      <c r="R697" s="93"/>
      <c r="S697" s="298"/>
      <c r="T697" s="304"/>
      <c r="U697" s="307"/>
      <c r="V697" s="309"/>
      <c r="W697" s="248"/>
      <c r="X697" s="342"/>
      <c r="Y697" s="336"/>
      <c r="Z697" s="123"/>
      <c r="AA697" s="33"/>
      <c r="AB697" s="123"/>
      <c r="AC697" s="33"/>
      <c r="AD697" s="123"/>
      <c r="AE697" s="33"/>
      <c r="AF697" s="123"/>
      <c r="AG697" s="243"/>
      <c r="AH697" s="33"/>
      <c r="AI697" s="245"/>
      <c r="AJ697" s="125"/>
      <c r="AK697" s="91"/>
      <c r="AL697" s="126"/>
      <c r="AM697" s="91"/>
      <c r="AN697" s="91"/>
      <c r="AO697" s="197">
        <f t="shared" si="43"/>
        <v>0</v>
      </c>
      <c r="AP697" s="126"/>
      <c r="AQ697" s="216"/>
      <c r="AR697" s="127"/>
      <c r="AS697" s="269"/>
      <c r="AT697" s="94"/>
      <c r="AU697" s="84"/>
      <c r="AV697" s="80"/>
      <c r="AW697" s="81"/>
      <c r="AX697" s="77"/>
      <c r="AY697" s="107"/>
      <c r="AZ697" s="220">
        <f t="shared" si="40"/>
        <v>0</v>
      </c>
      <c r="BA697" s="220">
        <f t="shared" si="41"/>
        <v>0</v>
      </c>
    </row>
    <row r="698" spans="1:53" ht="50.1" customHeight="1" x14ac:dyDescent="0.25">
      <c r="A698" s="17">
        <f t="shared" si="42"/>
        <v>684</v>
      </c>
      <c r="B698" s="229"/>
      <c r="C698" s="222"/>
      <c r="D698" s="112"/>
      <c r="E698" s="128"/>
      <c r="F698" s="129"/>
      <c r="G698" s="130"/>
      <c r="H698" s="131"/>
      <c r="I698" s="132"/>
      <c r="J698" s="108"/>
      <c r="K698" s="133"/>
      <c r="L698" s="134"/>
      <c r="M698" s="334"/>
      <c r="N698" s="343"/>
      <c r="O698" s="135"/>
      <c r="P698" s="82"/>
      <c r="Q698" s="135"/>
      <c r="R698" s="82"/>
      <c r="S698" s="299"/>
      <c r="T698" s="305"/>
      <c r="U698" s="298"/>
      <c r="V698" s="304"/>
      <c r="W698" s="249"/>
      <c r="X698" s="344"/>
      <c r="Y698" s="337"/>
      <c r="Z698" s="33"/>
      <c r="AA698" s="83"/>
      <c r="AB698" s="33"/>
      <c r="AC698" s="83"/>
      <c r="AD698" s="33"/>
      <c r="AE698" s="83"/>
      <c r="AF698" s="33"/>
      <c r="AG698" s="244"/>
      <c r="AH698" s="83"/>
      <c r="AI698" s="246"/>
      <c r="AJ698" s="102"/>
      <c r="AK698" s="92"/>
      <c r="AL698" s="91"/>
      <c r="AM698" s="92"/>
      <c r="AN698" s="351"/>
      <c r="AO698" s="197">
        <f t="shared" si="43"/>
        <v>0</v>
      </c>
      <c r="AP698" s="91"/>
      <c r="AQ698" s="217"/>
      <c r="AR698" s="103"/>
      <c r="AS698" s="264"/>
      <c r="AT698" s="94"/>
      <c r="AU698" s="84"/>
      <c r="AV698" s="136"/>
      <c r="AW698" s="77"/>
      <c r="AX698" s="137"/>
      <c r="AY698" s="138"/>
      <c r="AZ698" s="220">
        <f t="shared" si="40"/>
        <v>0</v>
      </c>
      <c r="BA698" s="220">
        <f t="shared" si="41"/>
        <v>0</v>
      </c>
    </row>
    <row r="699" spans="1:53" ht="50.1" customHeight="1" x14ac:dyDescent="0.25">
      <c r="A699" s="17">
        <f t="shared" si="42"/>
        <v>685</v>
      </c>
      <c r="B699" s="228"/>
      <c r="C699" s="221"/>
      <c r="D699" s="88"/>
      <c r="E699" s="100"/>
      <c r="F699" s="95"/>
      <c r="G699" s="114"/>
      <c r="H699" s="96"/>
      <c r="I699" s="97"/>
      <c r="J699" s="98"/>
      <c r="K699" s="101"/>
      <c r="L699" s="124"/>
      <c r="M699" s="333"/>
      <c r="N699" s="341"/>
      <c r="O699" s="82"/>
      <c r="P699" s="93"/>
      <c r="Q699" s="82"/>
      <c r="R699" s="93"/>
      <c r="S699" s="298"/>
      <c r="T699" s="304"/>
      <c r="U699" s="307"/>
      <c r="V699" s="309"/>
      <c r="W699" s="248"/>
      <c r="X699" s="342"/>
      <c r="Y699" s="336"/>
      <c r="Z699" s="123"/>
      <c r="AA699" s="33"/>
      <c r="AB699" s="123"/>
      <c r="AC699" s="33"/>
      <c r="AD699" s="123"/>
      <c r="AE699" s="33"/>
      <c r="AF699" s="123"/>
      <c r="AG699" s="243"/>
      <c r="AH699" s="33"/>
      <c r="AI699" s="245"/>
      <c r="AJ699" s="125"/>
      <c r="AK699" s="91"/>
      <c r="AL699" s="126"/>
      <c r="AM699" s="91"/>
      <c r="AN699" s="91"/>
      <c r="AO699" s="197">
        <f t="shared" si="43"/>
        <v>0</v>
      </c>
      <c r="AP699" s="126"/>
      <c r="AQ699" s="216"/>
      <c r="AR699" s="127"/>
      <c r="AS699" s="269"/>
      <c r="AT699" s="94"/>
      <c r="AU699" s="84"/>
      <c r="AV699" s="80"/>
      <c r="AW699" s="81"/>
      <c r="AX699" s="77"/>
      <c r="AY699" s="107"/>
      <c r="AZ699" s="220">
        <f t="shared" si="40"/>
        <v>0</v>
      </c>
      <c r="BA699" s="220">
        <f t="shared" si="41"/>
        <v>0</v>
      </c>
    </row>
    <row r="700" spans="1:53" ht="50.1" customHeight="1" x14ac:dyDescent="0.25">
      <c r="A700" s="17">
        <f t="shared" si="42"/>
        <v>686</v>
      </c>
      <c r="B700" s="229"/>
      <c r="C700" s="222"/>
      <c r="D700" s="112"/>
      <c r="E700" s="128"/>
      <c r="F700" s="129"/>
      <c r="G700" s="130"/>
      <c r="H700" s="131"/>
      <c r="I700" s="132"/>
      <c r="J700" s="108"/>
      <c r="K700" s="133"/>
      <c r="L700" s="134"/>
      <c r="M700" s="334"/>
      <c r="N700" s="343"/>
      <c r="O700" s="135"/>
      <c r="P700" s="82"/>
      <c r="Q700" s="135"/>
      <c r="R700" s="82"/>
      <c r="S700" s="299"/>
      <c r="T700" s="305"/>
      <c r="U700" s="298"/>
      <c r="V700" s="304"/>
      <c r="W700" s="249"/>
      <c r="X700" s="344"/>
      <c r="Y700" s="337"/>
      <c r="Z700" s="33"/>
      <c r="AA700" s="83"/>
      <c r="AB700" s="33"/>
      <c r="AC700" s="83"/>
      <c r="AD700" s="33"/>
      <c r="AE700" s="83"/>
      <c r="AF700" s="33"/>
      <c r="AG700" s="244"/>
      <c r="AH700" s="83"/>
      <c r="AI700" s="246"/>
      <c r="AJ700" s="102"/>
      <c r="AK700" s="92"/>
      <c r="AL700" s="91"/>
      <c r="AM700" s="92"/>
      <c r="AN700" s="351"/>
      <c r="AO700" s="197">
        <f t="shared" si="43"/>
        <v>0</v>
      </c>
      <c r="AP700" s="91"/>
      <c r="AQ700" s="217"/>
      <c r="AR700" s="103"/>
      <c r="AS700" s="264"/>
      <c r="AT700" s="94"/>
      <c r="AU700" s="84"/>
      <c r="AV700" s="136"/>
      <c r="AW700" s="77"/>
      <c r="AX700" s="137"/>
      <c r="AY700" s="138"/>
      <c r="AZ700" s="220">
        <f t="shared" si="40"/>
        <v>0</v>
      </c>
      <c r="BA700" s="220">
        <f t="shared" si="41"/>
        <v>0</v>
      </c>
    </row>
    <row r="701" spans="1:53" ht="50.1" customHeight="1" x14ac:dyDescent="0.25">
      <c r="A701" s="17">
        <f t="shared" si="42"/>
        <v>687</v>
      </c>
      <c r="B701" s="228"/>
      <c r="C701" s="221"/>
      <c r="D701" s="88"/>
      <c r="E701" s="100"/>
      <c r="F701" s="95"/>
      <c r="G701" s="114"/>
      <c r="H701" s="96"/>
      <c r="I701" s="97"/>
      <c r="J701" s="98"/>
      <c r="K701" s="101"/>
      <c r="L701" s="124"/>
      <c r="M701" s="333"/>
      <c r="N701" s="341"/>
      <c r="O701" s="82"/>
      <c r="P701" s="93"/>
      <c r="Q701" s="82"/>
      <c r="R701" s="93"/>
      <c r="S701" s="298"/>
      <c r="T701" s="304"/>
      <c r="U701" s="307"/>
      <c r="V701" s="309"/>
      <c r="W701" s="248"/>
      <c r="X701" s="342"/>
      <c r="Y701" s="336"/>
      <c r="Z701" s="123"/>
      <c r="AA701" s="33"/>
      <c r="AB701" s="123"/>
      <c r="AC701" s="33"/>
      <c r="AD701" s="123"/>
      <c r="AE701" s="33"/>
      <c r="AF701" s="123"/>
      <c r="AG701" s="243"/>
      <c r="AH701" s="33"/>
      <c r="AI701" s="245"/>
      <c r="AJ701" s="125"/>
      <c r="AK701" s="91"/>
      <c r="AL701" s="126"/>
      <c r="AM701" s="91"/>
      <c r="AN701" s="91"/>
      <c r="AO701" s="197">
        <f t="shared" si="43"/>
        <v>0</v>
      </c>
      <c r="AP701" s="126"/>
      <c r="AQ701" s="216"/>
      <c r="AR701" s="127"/>
      <c r="AS701" s="269"/>
      <c r="AT701" s="94"/>
      <c r="AU701" s="84"/>
      <c r="AV701" s="80"/>
      <c r="AW701" s="81"/>
      <c r="AX701" s="77"/>
      <c r="AY701" s="107"/>
      <c r="AZ701" s="220">
        <f t="shared" si="40"/>
        <v>0</v>
      </c>
      <c r="BA701" s="220">
        <f t="shared" si="41"/>
        <v>0</v>
      </c>
    </row>
    <row r="702" spans="1:53" ht="50.1" customHeight="1" x14ac:dyDescent="0.25">
      <c r="A702" s="17">
        <f t="shared" si="42"/>
        <v>688</v>
      </c>
      <c r="B702" s="229"/>
      <c r="C702" s="222"/>
      <c r="D702" s="112"/>
      <c r="E702" s="128"/>
      <c r="F702" s="129"/>
      <c r="G702" s="130"/>
      <c r="H702" s="131"/>
      <c r="I702" s="132"/>
      <c r="J702" s="108"/>
      <c r="K702" s="133"/>
      <c r="L702" s="134"/>
      <c r="M702" s="334"/>
      <c r="N702" s="343"/>
      <c r="O702" s="135"/>
      <c r="P702" s="82"/>
      <c r="Q702" s="135"/>
      <c r="R702" s="82"/>
      <c r="S702" s="299"/>
      <c r="T702" s="305"/>
      <c r="U702" s="298"/>
      <c r="V702" s="304"/>
      <c r="W702" s="249"/>
      <c r="X702" s="344"/>
      <c r="Y702" s="337"/>
      <c r="Z702" s="33"/>
      <c r="AA702" s="83"/>
      <c r="AB702" s="33"/>
      <c r="AC702" s="83"/>
      <c r="AD702" s="33"/>
      <c r="AE702" s="83"/>
      <c r="AF702" s="33"/>
      <c r="AG702" s="244"/>
      <c r="AH702" s="83"/>
      <c r="AI702" s="246"/>
      <c r="AJ702" s="102"/>
      <c r="AK702" s="92"/>
      <c r="AL702" s="91"/>
      <c r="AM702" s="92"/>
      <c r="AN702" s="351"/>
      <c r="AO702" s="197">
        <f t="shared" si="43"/>
        <v>0</v>
      </c>
      <c r="AP702" s="91"/>
      <c r="AQ702" s="217"/>
      <c r="AR702" s="103"/>
      <c r="AS702" s="264"/>
      <c r="AT702" s="94"/>
      <c r="AU702" s="84"/>
      <c r="AV702" s="136"/>
      <c r="AW702" s="77"/>
      <c r="AX702" s="137"/>
      <c r="AY702" s="138"/>
      <c r="AZ702" s="220">
        <f t="shared" si="40"/>
        <v>0</v>
      </c>
      <c r="BA702" s="220">
        <f t="shared" si="41"/>
        <v>0</v>
      </c>
    </row>
    <row r="703" spans="1:53" ht="50.1" customHeight="1" x14ac:dyDescent="0.25">
      <c r="A703" s="17">
        <f t="shared" si="42"/>
        <v>689</v>
      </c>
      <c r="B703" s="228"/>
      <c r="C703" s="221"/>
      <c r="D703" s="88"/>
      <c r="E703" s="100"/>
      <c r="F703" s="95"/>
      <c r="G703" s="114"/>
      <c r="H703" s="96"/>
      <c r="I703" s="97"/>
      <c r="J703" s="98"/>
      <c r="K703" s="101"/>
      <c r="L703" s="124"/>
      <c r="M703" s="333"/>
      <c r="N703" s="341"/>
      <c r="O703" s="82"/>
      <c r="P703" s="93"/>
      <c r="Q703" s="82"/>
      <c r="R703" s="93"/>
      <c r="S703" s="298"/>
      <c r="T703" s="304"/>
      <c r="U703" s="307"/>
      <c r="V703" s="309"/>
      <c r="W703" s="248"/>
      <c r="X703" s="342"/>
      <c r="Y703" s="336"/>
      <c r="Z703" s="123"/>
      <c r="AA703" s="33"/>
      <c r="AB703" s="123"/>
      <c r="AC703" s="33"/>
      <c r="AD703" s="123"/>
      <c r="AE703" s="33"/>
      <c r="AF703" s="123"/>
      <c r="AG703" s="243"/>
      <c r="AH703" s="33"/>
      <c r="AI703" s="245"/>
      <c r="AJ703" s="125"/>
      <c r="AK703" s="91"/>
      <c r="AL703" s="126"/>
      <c r="AM703" s="91"/>
      <c r="AN703" s="91"/>
      <c r="AO703" s="197">
        <f t="shared" si="43"/>
        <v>0</v>
      </c>
      <c r="AP703" s="126"/>
      <c r="AQ703" s="216"/>
      <c r="AR703" s="127"/>
      <c r="AS703" s="269"/>
      <c r="AT703" s="94"/>
      <c r="AU703" s="84"/>
      <c r="AV703" s="80"/>
      <c r="AW703" s="81"/>
      <c r="AX703" s="77"/>
      <c r="AY703" s="107"/>
      <c r="AZ703" s="220">
        <f t="shared" si="40"/>
        <v>0</v>
      </c>
      <c r="BA703" s="220">
        <f t="shared" si="41"/>
        <v>0</v>
      </c>
    </row>
    <row r="704" spans="1:53" ht="50.1" customHeight="1" x14ac:dyDescent="0.25">
      <c r="A704" s="17">
        <f t="shared" si="42"/>
        <v>690</v>
      </c>
      <c r="B704" s="229"/>
      <c r="C704" s="222"/>
      <c r="D704" s="112"/>
      <c r="E704" s="128"/>
      <c r="F704" s="129"/>
      <c r="G704" s="130"/>
      <c r="H704" s="131"/>
      <c r="I704" s="132"/>
      <c r="J704" s="108"/>
      <c r="K704" s="133"/>
      <c r="L704" s="134"/>
      <c r="M704" s="334"/>
      <c r="N704" s="343"/>
      <c r="O704" s="135"/>
      <c r="P704" s="82"/>
      <c r="Q704" s="135"/>
      <c r="R704" s="82"/>
      <c r="S704" s="299"/>
      <c r="T704" s="305"/>
      <c r="U704" s="298"/>
      <c r="V704" s="304"/>
      <c r="W704" s="249"/>
      <c r="X704" s="344"/>
      <c r="Y704" s="337"/>
      <c r="Z704" s="33"/>
      <c r="AA704" s="83"/>
      <c r="AB704" s="33"/>
      <c r="AC704" s="83"/>
      <c r="AD704" s="33"/>
      <c r="AE704" s="83"/>
      <c r="AF704" s="33"/>
      <c r="AG704" s="244"/>
      <c r="AH704" s="83"/>
      <c r="AI704" s="246"/>
      <c r="AJ704" s="102"/>
      <c r="AK704" s="92"/>
      <c r="AL704" s="91"/>
      <c r="AM704" s="92"/>
      <c r="AN704" s="351"/>
      <c r="AO704" s="197">
        <f t="shared" si="43"/>
        <v>0</v>
      </c>
      <c r="AP704" s="91"/>
      <c r="AQ704" s="217"/>
      <c r="AR704" s="103"/>
      <c r="AS704" s="264"/>
      <c r="AT704" s="94"/>
      <c r="AU704" s="84"/>
      <c r="AV704" s="136"/>
      <c r="AW704" s="77"/>
      <c r="AX704" s="137"/>
      <c r="AY704" s="138"/>
      <c r="AZ704" s="220">
        <f t="shared" si="40"/>
        <v>0</v>
      </c>
      <c r="BA704" s="220">
        <f t="shared" si="41"/>
        <v>0</v>
      </c>
    </row>
    <row r="705" spans="1:53" ht="50.1" customHeight="1" x14ac:dyDescent="0.25">
      <c r="A705" s="17">
        <f t="shared" si="42"/>
        <v>691</v>
      </c>
      <c r="B705" s="228"/>
      <c r="C705" s="221"/>
      <c r="D705" s="88"/>
      <c r="E705" s="100"/>
      <c r="F705" s="95"/>
      <c r="G705" s="114"/>
      <c r="H705" s="96"/>
      <c r="I705" s="97"/>
      <c r="J705" s="98"/>
      <c r="K705" s="101"/>
      <c r="L705" s="124"/>
      <c r="M705" s="333"/>
      <c r="N705" s="346"/>
      <c r="O705" s="82"/>
      <c r="P705" s="93"/>
      <c r="Q705" s="82"/>
      <c r="R705" s="93"/>
      <c r="S705" s="298"/>
      <c r="T705" s="304"/>
      <c r="U705" s="307"/>
      <c r="V705" s="309"/>
      <c r="W705" s="248"/>
      <c r="X705" s="342"/>
      <c r="Y705" s="336"/>
      <c r="Z705" s="123"/>
      <c r="AA705" s="33"/>
      <c r="AB705" s="123"/>
      <c r="AC705" s="33"/>
      <c r="AD705" s="123"/>
      <c r="AE705" s="33"/>
      <c r="AF705" s="123"/>
      <c r="AG705" s="243"/>
      <c r="AH705" s="33"/>
      <c r="AI705" s="245"/>
      <c r="AJ705" s="125"/>
      <c r="AK705" s="91"/>
      <c r="AL705" s="126"/>
      <c r="AM705" s="91"/>
      <c r="AN705" s="91"/>
      <c r="AO705" s="197">
        <f t="shared" si="43"/>
        <v>0</v>
      </c>
      <c r="AP705" s="126"/>
      <c r="AQ705" s="216"/>
      <c r="AR705" s="127"/>
      <c r="AS705" s="269"/>
      <c r="AT705" s="94"/>
      <c r="AU705" s="84"/>
      <c r="AV705" s="80"/>
      <c r="AW705" s="81"/>
      <c r="AX705" s="77"/>
      <c r="AY705" s="107"/>
      <c r="AZ705" s="220">
        <f t="shared" si="40"/>
        <v>0</v>
      </c>
      <c r="BA705" s="220">
        <f t="shared" si="41"/>
        <v>0</v>
      </c>
    </row>
    <row r="706" spans="1:53" ht="50.1" customHeight="1" x14ac:dyDescent="0.25">
      <c r="A706" s="17">
        <f t="shared" si="42"/>
        <v>692</v>
      </c>
      <c r="B706" s="229"/>
      <c r="C706" s="222"/>
      <c r="D706" s="112"/>
      <c r="E706" s="128"/>
      <c r="F706" s="129"/>
      <c r="G706" s="130"/>
      <c r="H706" s="131"/>
      <c r="I706" s="132"/>
      <c r="J706" s="108"/>
      <c r="K706" s="133"/>
      <c r="L706" s="134"/>
      <c r="M706" s="334"/>
      <c r="N706" s="343"/>
      <c r="O706" s="135"/>
      <c r="P706" s="82"/>
      <c r="Q706" s="135"/>
      <c r="R706" s="82"/>
      <c r="S706" s="299"/>
      <c r="T706" s="305"/>
      <c r="U706" s="298"/>
      <c r="V706" s="304"/>
      <c r="W706" s="249"/>
      <c r="X706" s="344"/>
      <c r="Y706" s="337"/>
      <c r="Z706" s="33"/>
      <c r="AA706" s="83"/>
      <c r="AB706" s="33"/>
      <c r="AC706" s="83"/>
      <c r="AD706" s="33"/>
      <c r="AE706" s="83"/>
      <c r="AF706" s="33"/>
      <c r="AG706" s="244"/>
      <c r="AH706" s="83"/>
      <c r="AI706" s="246"/>
      <c r="AJ706" s="102"/>
      <c r="AK706" s="92"/>
      <c r="AL706" s="91"/>
      <c r="AM706" s="92"/>
      <c r="AN706" s="351"/>
      <c r="AO706" s="197">
        <f t="shared" si="43"/>
        <v>0</v>
      </c>
      <c r="AP706" s="91"/>
      <c r="AQ706" s="217"/>
      <c r="AR706" s="103"/>
      <c r="AS706" s="264"/>
      <c r="AT706" s="94"/>
      <c r="AU706" s="84"/>
      <c r="AV706" s="136"/>
      <c r="AW706" s="77"/>
      <c r="AX706" s="137"/>
      <c r="AY706" s="138"/>
      <c r="AZ706" s="220">
        <f t="shared" si="40"/>
        <v>0</v>
      </c>
      <c r="BA706" s="220">
        <f t="shared" si="41"/>
        <v>0</v>
      </c>
    </row>
    <row r="707" spans="1:53" ht="50.1" customHeight="1" x14ac:dyDescent="0.25">
      <c r="A707" s="17">
        <f t="shared" si="42"/>
        <v>693</v>
      </c>
      <c r="B707" s="228"/>
      <c r="C707" s="221"/>
      <c r="D707" s="88"/>
      <c r="E707" s="100"/>
      <c r="F707" s="95"/>
      <c r="G707" s="114"/>
      <c r="H707" s="96"/>
      <c r="I707" s="97"/>
      <c r="J707" s="98"/>
      <c r="K707" s="101"/>
      <c r="L707" s="124"/>
      <c r="M707" s="333"/>
      <c r="N707" s="341"/>
      <c r="O707" s="82"/>
      <c r="P707" s="93"/>
      <c r="Q707" s="82"/>
      <c r="R707" s="93"/>
      <c r="S707" s="298"/>
      <c r="T707" s="304"/>
      <c r="U707" s="307"/>
      <c r="V707" s="309"/>
      <c r="W707" s="248"/>
      <c r="X707" s="342"/>
      <c r="Y707" s="336"/>
      <c r="Z707" s="123"/>
      <c r="AA707" s="33"/>
      <c r="AB707" s="123"/>
      <c r="AC707" s="33"/>
      <c r="AD707" s="123"/>
      <c r="AE707" s="33"/>
      <c r="AF707" s="123"/>
      <c r="AG707" s="243"/>
      <c r="AH707" s="33"/>
      <c r="AI707" s="245"/>
      <c r="AJ707" s="125"/>
      <c r="AK707" s="91"/>
      <c r="AL707" s="126"/>
      <c r="AM707" s="91"/>
      <c r="AN707" s="91"/>
      <c r="AO707" s="197">
        <f t="shared" si="43"/>
        <v>0</v>
      </c>
      <c r="AP707" s="126"/>
      <c r="AQ707" s="216"/>
      <c r="AR707" s="127"/>
      <c r="AS707" s="269"/>
      <c r="AT707" s="94"/>
      <c r="AU707" s="84"/>
      <c r="AV707" s="80"/>
      <c r="AW707" s="81"/>
      <c r="AX707" s="77"/>
      <c r="AY707" s="107"/>
      <c r="AZ707" s="220">
        <f t="shared" si="40"/>
        <v>0</v>
      </c>
      <c r="BA707" s="220">
        <f t="shared" si="41"/>
        <v>0</v>
      </c>
    </row>
    <row r="708" spans="1:53" ht="50.1" customHeight="1" x14ac:dyDescent="0.25">
      <c r="A708" s="17">
        <f t="shared" si="42"/>
        <v>694</v>
      </c>
      <c r="B708" s="229"/>
      <c r="C708" s="222"/>
      <c r="D708" s="112"/>
      <c r="E708" s="128"/>
      <c r="F708" s="129"/>
      <c r="G708" s="130"/>
      <c r="H708" s="131"/>
      <c r="I708" s="132"/>
      <c r="J708" s="108"/>
      <c r="K708" s="133"/>
      <c r="L708" s="134"/>
      <c r="M708" s="334"/>
      <c r="N708" s="343"/>
      <c r="O708" s="135"/>
      <c r="P708" s="82"/>
      <c r="Q708" s="135"/>
      <c r="R708" s="82"/>
      <c r="S708" s="299"/>
      <c r="T708" s="305"/>
      <c r="U708" s="298"/>
      <c r="V708" s="304"/>
      <c r="W708" s="249"/>
      <c r="X708" s="344"/>
      <c r="Y708" s="337"/>
      <c r="Z708" s="33"/>
      <c r="AA708" s="83"/>
      <c r="AB708" s="33"/>
      <c r="AC708" s="83"/>
      <c r="AD708" s="33"/>
      <c r="AE708" s="83"/>
      <c r="AF708" s="33"/>
      <c r="AG708" s="244"/>
      <c r="AH708" s="83"/>
      <c r="AI708" s="246"/>
      <c r="AJ708" s="102"/>
      <c r="AK708" s="92"/>
      <c r="AL708" s="91"/>
      <c r="AM708" s="92"/>
      <c r="AN708" s="351"/>
      <c r="AO708" s="197">
        <f t="shared" si="43"/>
        <v>0</v>
      </c>
      <c r="AP708" s="91"/>
      <c r="AQ708" s="217"/>
      <c r="AR708" s="103"/>
      <c r="AS708" s="264"/>
      <c r="AT708" s="94"/>
      <c r="AU708" s="84"/>
      <c r="AV708" s="136"/>
      <c r="AW708" s="77"/>
      <c r="AX708" s="137"/>
      <c r="AY708" s="138"/>
      <c r="AZ708" s="220">
        <f t="shared" si="40"/>
        <v>0</v>
      </c>
      <c r="BA708" s="220">
        <f t="shared" si="41"/>
        <v>0</v>
      </c>
    </row>
    <row r="709" spans="1:53" ht="50.1" customHeight="1" x14ac:dyDescent="0.25">
      <c r="A709" s="17">
        <f t="shared" si="42"/>
        <v>695</v>
      </c>
      <c r="B709" s="228"/>
      <c r="C709" s="221"/>
      <c r="D709" s="88"/>
      <c r="E709" s="100"/>
      <c r="F709" s="95"/>
      <c r="G709" s="114"/>
      <c r="H709" s="96"/>
      <c r="I709" s="97"/>
      <c r="J709" s="98"/>
      <c r="K709" s="101"/>
      <c r="L709" s="124"/>
      <c r="M709" s="333"/>
      <c r="N709" s="341"/>
      <c r="O709" s="82"/>
      <c r="P709" s="93"/>
      <c r="Q709" s="82"/>
      <c r="R709" s="93"/>
      <c r="S709" s="298"/>
      <c r="T709" s="304"/>
      <c r="U709" s="307"/>
      <c r="V709" s="309"/>
      <c r="W709" s="248"/>
      <c r="X709" s="342"/>
      <c r="Y709" s="336"/>
      <c r="Z709" s="123"/>
      <c r="AA709" s="33"/>
      <c r="AB709" s="123"/>
      <c r="AC709" s="33"/>
      <c r="AD709" s="123"/>
      <c r="AE709" s="33"/>
      <c r="AF709" s="123"/>
      <c r="AG709" s="243"/>
      <c r="AH709" s="33"/>
      <c r="AI709" s="245"/>
      <c r="AJ709" s="125"/>
      <c r="AK709" s="91"/>
      <c r="AL709" s="126"/>
      <c r="AM709" s="91"/>
      <c r="AN709" s="91"/>
      <c r="AO709" s="197">
        <f t="shared" si="43"/>
        <v>0</v>
      </c>
      <c r="AP709" s="126"/>
      <c r="AQ709" s="216"/>
      <c r="AR709" s="127"/>
      <c r="AS709" s="269"/>
      <c r="AT709" s="94"/>
      <c r="AU709" s="84"/>
      <c r="AV709" s="80"/>
      <c r="AW709" s="81"/>
      <c r="AX709" s="77"/>
      <c r="AY709" s="107"/>
      <c r="AZ709" s="220">
        <f t="shared" si="40"/>
        <v>0</v>
      </c>
      <c r="BA709" s="220">
        <f t="shared" si="41"/>
        <v>0</v>
      </c>
    </row>
    <row r="710" spans="1:53" ht="50.1" customHeight="1" x14ac:dyDescent="0.25">
      <c r="A710" s="17">
        <f t="shared" si="42"/>
        <v>696</v>
      </c>
      <c r="B710" s="229"/>
      <c r="C710" s="222"/>
      <c r="D710" s="112"/>
      <c r="E710" s="128"/>
      <c r="F710" s="129"/>
      <c r="G710" s="130"/>
      <c r="H710" s="131"/>
      <c r="I710" s="132"/>
      <c r="J710" s="108"/>
      <c r="K710" s="133"/>
      <c r="L710" s="134"/>
      <c r="M710" s="334"/>
      <c r="N710" s="343"/>
      <c r="O710" s="135"/>
      <c r="P710" s="82"/>
      <c r="Q710" s="135"/>
      <c r="R710" s="82"/>
      <c r="S710" s="299"/>
      <c r="T710" s="305"/>
      <c r="U710" s="298"/>
      <c r="V710" s="304"/>
      <c r="W710" s="249"/>
      <c r="X710" s="344"/>
      <c r="Y710" s="337"/>
      <c r="Z710" s="33"/>
      <c r="AA710" s="83"/>
      <c r="AB710" s="33"/>
      <c r="AC710" s="83"/>
      <c r="AD710" s="33"/>
      <c r="AE710" s="83"/>
      <c r="AF710" s="33"/>
      <c r="AG710" s="244"/>
      <c r="AH710" s="83"/>
      <c r="AI710" s="246"/>
      <c r="AJ710" s="102"/>
      <c r="AK710" s="92"/>
      <c r="AL710" s="91"/>
      <c r="AM710" s="92"/>
      <c r="AN710" s="351"/>
      <c r="AO710" s="197">
        <f t="shared" si="43"/>
        <v>0</v>
      </c>
      <c r="AP710" s="91"/>
      <c r="AQ710" s="217"/>
      <c r="AR710" s="103"/>
      <c r="AS710" s="264"/>
      <c r="AT710" s="94"/>
      <c r="AU710" s="84"/>
      <c r="AV710" s="136"/>
      <c r="AW710" s="77"/>
      <c r="AX710" s="137"/>
      <c r="AY710" s="138"/>
      <c r="AZ710" s="220">
        <f t="shared" si="40"/>
        <v>0</v>
      </c>
      <c r="BA710" s="220">
        <f t="shared" si="41"/>
        <v>0</v>
      </c>
    </row>
    <row r="711" spans="1:53" ht="50.1" customHeight="1" x14ac:dyDescent="0.25">
      <c r="A711" s="17">
        <f t="shared" si="42"/>
        <v>697</v>
      </c>
      <c r="B711" s="228"/>
      <c r="C711" s="221"/>
      <c r="D711" s="88"/>
      <c r="E711" s="100"/>
      <c r="F711" s="95"/>
      <c r="G711" s="114"/>
      <c r="H711" s="96"/>
      <c r="I711" s="97"/>
      <c r="J711" s="98"/>
      <c r="K711" s="101"/>
      <c r="L711" s="124"/>
      <c r="M711" s="333"/>
      <c r="N711" s="341"/>
      <c r="O711" s="82"/>
      <c r="P711" s="93"/>
      <c r="Q711" s="82"/>
      <c r="R711" s="93"/>
      <c r="S711" s="298"/>
      <c r="T711" s="304"/>
      <c r="U711" s="307"/>
      <c r="V711" s="309"/>
      <c r="W711" s="248"/>
      <c r="X711" s="342"/>
      <c r="Y711" s="336"/>
      <c r="Z711" s="123"/>
      <c r="AA711" s="33"/>
      <c r="AB711" s="123"/>
      <c r="AC711" s="33"/>
      <c r="AD711" s="123"/>
      <c r="AE711" s="33"/>
      <c r="AF711" s="123"/>
      <c r="AG711" s="243"/>
      <c r="AH711" s="33"/>
      <c r="AI711" s="245"/>
      <c r="AJ711" s="125"/>
      <c r="AK711" s="91"/>
      <c r="AL711" s="126"/>
      <c r="AM711" s="91"/>
      <c r="AN711" s="91"/>
      <c r="AO711" s="197">
        <f t="shared" si="43"/>
        <v>0</v>
      </c>
      <c r="AP711" s="126"/>
      <c r="AQ711" s="216"/>
      <c r="AR711" s="127"/>
      <c r="AS711" s="269"/>
      <c r="AT711" s="94"/>
      <c r="AU711" s="84"/>
      <c r="AV711" s="80"/>
      <c r="AW711" s="81"/>
      <c r="AX711" s="77"/>
      <c r="AY711" s="107"/>
      <c r="AZ711" s="220">
        <f t="shared" si="40"/>
        <v>0</v>
      </c>
      <c r="BA711" s="220">
        <f t="shared" si="41"/>
        <v>0</v>
      </c>
    </row>
    <row r="712" spans="1:53" ht="50.1" customHeight="1" x14ac:dyDescent="0.25">
      <c r="A712" s="17">
        <f t="shared" si="42"/>
        <v>698</v>
      </c>
      <c r="B712" s="229"/>
      <c r="C712" s="222"/>
      <c r="D712" s="112"/>
      <c r="E712" s="128"/>
      <c r="F712" s="129"/>
      <c r="G712" s="130"/>
      <c r="H712" s="131"/>
      <c r="I712" s="132"/>
      <c r="J712" s="108"/>
      <c r="K712" s="133"/>
      <c r="L712" s="134"/>
      <c r="M712" s="334"/>
      <c r="N712" s="343"/>
      <c r="O712" s="135"/>
      <c r="P712" s="82"/>
      <c r="Q712" s="135"/>
      <c r="R712" s="82"/>
      <c r="S712" s="299"/>
      <c r="T712" s="305"/>
      <c r="U712" s="298"/>
      <c r="V712" s="304"/>
      <c r="W712" s="249"/>
      <c r="X712" s="344"/>
      <c r="Y712" s="337"/>
      <c r="Z712" s="33"/>
      <c r="AA712" s="83"/>
      <c r="AB712" s="33"/>
      <c r="AC712" s="83"/>
      <c r="AD712" s="33"/>
      <c r="AE712" s="83"/>
      <c r="AF712" s="33"/>
      <c r="AG712" s="244"/>
      <c r="AH712" s="83"/>
      <c r="AI712" s="246"/>
      <c r="AJ712" s="102"/>
      <c r="AK712" s="92"/>
      <c r="AL712" s="91"/>
      <c r="AM712" s="92"/>
      <c r="AN712" s="351"/>
      <c r="AO712" s="197">
        <f t="shared" si="43"/>
        <v>0</v>
      </c>
      <c r="AP712" s="91"/>
      <c r="AQ712" s="217"/>
      <c r="AR712" s="103"/>
      <c r="AS712" s="264"/>
      <c r="AT712" s="94"/>
      <c r="AU712" s="84"/>
      <c r="AV712" s="136"/>
      <c r="AW712" s="77"/>
      <c r="AX712" s="137"/>
      <c r="AY712" s="138"/>
      <c r="AZ712" s="220">
        <f t="shared" si="40"/>
        <v>0</v>
      </c>
      <c r="BA712" s="220">
        <f t="shared" si="41"/>
        <v>0</v>
      </c>
    </row>
    <row r="713" spans="1:53" ht="50.1" customHeight="1" x14ac:dyDescent="0.25">
      <c r="A713" s="17">
        <f t="shared" si="42"/>
        <v>699</v>
      </c>
      <c r="B713" s="228"/>
      <c r="C713" s="221"/>
      <c r="D713" s="88"/>
      <c r="E713" s="100"/>
      <c r="F713" s="95"/>
      <c r="G713" s="114"/>
      <c r="H713" s="96"/>
      <c r="I713" s="97"/>
      <c r="J713" s="98"/>
      <c r="K713" s="101"/>
      <c r="L713" s="124"/>
      <c r="M713" s="333"/>
      <c r="N713" s="341"/>
      <c r="O713" s="82"/>
      <c r="P713" s="93"/>
      <c r="Q713" s="82"/>
      <c r="R713" s="93"/>
      <c r="S713" s="298"/>
      <c r="T713" s="304"/>
      <c r="U713" s="307"/>
      <c r="V713" s="309"/>
      <c r="W713" s="248"/>
      <c r="X713" s="342"/>
      <c r="Y713" s="336"/>
      <c r="Z713" s="123"/>
      <c r="AA713" s="33"/>
      <c r="AB713" s="123"/>
      <c r="AC713" s="33"/>
      <c r="AD713" s="123"/>
      <c r="AE713" s="33"/>
      <c r="AF713" s="123"/>
      <c r="AG713" s="243"/>
      <c r="AH713" s="33"/>
      <c r="AI713" s="245"/>
      <c r="AJ713" s="125"/>
      <c r="AK713" s="91"/>
      <c r="AL713" s="126"/>
      <c r="AM713" s="91"/>
      <c r="AN713" s="91"/>
      <c r="AO713" s="197">
        <f t="shared" si="43"/>
        <v>0</v>
      </c>
      <c r="AP713" s="126"/>
      <c r="AQ713" s="216"/>
      <c r="AR713" s="127"/>
      <c r="AS713" s="269"/>
      <c r="AT713" s="94"/>
      <c r="AU713" s="84"/>
      <c r="AV713" s="80"/>
      <c r="AW713" s="81"/>
      <c r="AX713" s="77"/>
      <c r="AY713" s="107"/>
      <c r="AZ713" s="220">
        <f t="shared" si="40"/>
        <v>0</v>
      </c>
      <c r="BA713" s="220">
        <f t="shared" si="41"/>
        <v>0</v>
      </c>
    </row>
    <row r="714" spans="1:53" ht="50.1" customHeight="1" x14ac:dyDescent="0.25">
      <c r="A714" s="17">
        <f t="shared" si="42"/>
        <v>700</v>
      </c>
      <c r="B714" s="229"/>
      <c r="C714" s="222"/>
      <c r="D714" s="112"/>
      <c r="E714" s="128"/>
      <c r="F714" s="129"/>
      <c r="G714" s="130"/>
      <c r="H714" s="131"/>
      <c r="I714" s="132"/>
      <c r="J714" s="108"/>
      <c r="K714" s="133"/>
      <c r="L714" s="134"/>
      <c r="M714" s="334"/>
      <c r="N714" s="343"/>
      <c r="O714" s="135"/>
      <c r="P714" s="82"/>
      <c r="Q714" s="135"/>
      <c r="R714" s="82"/>
      <c r="S714" s="299"/>
      <c r="T714" s="305"/>
      <c r="U714" s="298"/>
      <c r="V714" s="304"/>
      <c r="W714" s="249"/>
      <c r="X714" s="344"/>
      <c r="Y714" s="337"/>
      <c r="Z714" s="33"/>
      <c r="AA714" s="83"/>
      <c r="AB714" s="33"/>
      <c r="AC714" s="83"/>
      <c r="AD714" s="33"/>
      <c r="AE714" s="83"/>
      <c r="AF714" s="33"/>
      <c r="AG714" s="244"/>
      <c r="AH714" s="83"/>
      <c r="AI714" s="246"/>
      <c r="AJ714" s="102"/>
      <c r="AK714" s="92"/>
      <c r="AL714" s="91"/>
      <c r="AM714" s="92"/>
      <c r="AN714" s="351"/>
      <c r="AO714" s="197">
        <f t="shared" si="43"/>
        <v>0</v>
      </c>
      <c r="AP714" s="91"/>
      <c r="AQ714" s="217"/>
      <c r="AR714" s="103"/>
      <c r="AS714" s="264"/>
      <c r="AT714" s="94"/>
      <c r="AU714" s="84"/>
      <c r="AV714" s="136"/>
      <c r="AW714" s="77"/>
      <c r="AX714" s="137"/>
      <c r="AY714" s="138"/>
      <c r="AZ714" s="220">
        <f t="shared" si="40"/>
        <v>0</v>
      </c>
      <c r="BA714" s="220">
        <f t="shared" si="41"/>
        <v>0</v>
      </c>
    </row>
    <row r="715" spans="1:53" ht="50.1" customHeight="1" x14ac:dyDescent="0.25">
      <c r="A715" s="17">
        <f t="shared" si="42"/>
        <v>701</v>
      </c>
      <c r="B715" s="228"/>
      <c r="C715" s="221"/>
      <c r="D715" s="88"/>
      <c r="E715" s="100"/>
      <c r="F715" s="95"/>
      <c r="G715" s="114"/>
      <c r="H715" s="96"/>
      <c r="I715" s="97"/>
      <c r="J715" s="98"/>
      <c r="K715" s="101"/>
      <c r="L715" s="124"/>
      <c r="M715" s="333"/>
      <c r="N715" s="341"/>
      <c r="O715" s="82"/>
      <c r="P715" s="93"/>
      <c r="Q715" s="82"/>
      <c r="R715" s="93"/>
      <c r="S715" s="298"/>
      <c r="T715" s="304"/>
      <c r="U715" s="307"/>
      <c r="V715" s="309"/>
      <c r="W715" s="248"/>
      <c r="X715" s="342"/>
      <c r="Y715" s="336"/>
      <c r="Z715" s="123"/>
      <c r="AA715" s="33"/>
      <c r="AB715" s="123"/>
      <c r="AC715" s="33"/>
      <c r="AD715" s="123"/>
      <c r="AE715" s="33"/>
      <c r="AF715" s="123"/>
      <c r="AG715" s="243"/>
      <c r="AH715" s="33"/>
      <c r="AI715" s="245"/>
      <c r="AJ715" s="125"/>
      <c r="AK715" s="91"/>
      <c r="AL715" s="126"/>
      <c r="AM715" s="91"/>
      <c r="AN715" s="91"/>
      <c r="AO715" s="197">
        <f t="shared" si="43"/>
        <v>0</v>
      </c>
      <c r="AP715" s="126"/>
      <c r="AQ715" s="216"/>
      <c r="AR715" s="127"/>
      <c r="AS715" s="269"/>
      <c r="AT715" s="94"/>
      <c r="AU715" s="84"/>
      <c r="AV715" s="80"/>
      <c r="AW715" s="81"/>
      <c r="AX715" s="77"/>
      <c r="AY715" s="107"/>
      <c r="AZ715" s="220">
        <f t="shared" si="40"/>
        <v>0</v>
      </c>
      <c r="BA715" s="220">
        <f t="shared" si="41"/>
        <v>0</v>
      </c>
    </row>
    <row r="716" spans="1:53" ht="50.1" customHeight="1" x14ac:dyDescent="0.25">
      <c r="A716" s="17">
        <f t="shared" si="42"/>
        <v>702</v>
      </c>
      <c r="B716" s="229"/>
      <c r="C716" s="222"/>
      <c r="D716" s="112"/>
      <c r="E716" s="128"/>
      <c r="F716" s="129"/>
      <c r="G716" s="130"/>
      <c r="H716" s="131"/>
      <c r="I716" s="132"/>
      <c r="J716" s="108"/>
      <c r="K716" s="133"/>
      <c r="L716" s="134"/>
      <c r="M716" s="334"/>
      <c r="N716" s="343"/>
      <c r="O716" s="135"/>
      <c r="P716" s="82"/>
      <c r="Q716" s="135"/>
      <c r="R716" s="82"/>
      <c r="S716" s="299"/>
      <c r="T716" s="305"/>
      <c r="U716" s="298"/>
      <c r="V716" s="304"/>
      <c r="W716" s="249"/>
      <c r="X716" s="344"/>
      <c r="Y716" s="337"/>
      <c r="Z716" s="33"/>
      <c r="AA716" s="83"/>
      <c r="AB716" s="33"/>
      <c r="AC716" s="83"/>
      <c r="AD716" s="33"/>
      <c r="AE716" s="83"/>
      <c r="AF716" s="33"/>
      <c r="AG716" s="244"/>
      <c r="AH716" s="83"/>
      <c r="AI716" s="246"/>
      <c r="AJ716" s="102"/>
      <c r="AK716" s="92"/>
      <c r="AL716" s="91"/>
      <c r="AM716" s="92"/>
      <c r="AN716" s="351"/>
      <c r="AO716" s="197">
        <f t="shared" si="43"/>
        <v>0</v>
      </c>
      <c r="AP716" s="91"/>
      <c r="AQ716" s="217"/>
      <c r="AR716" s="103"/>
      <c r="AS716" s="264"/>
      <c r="AT716" s="94"/>
      <c r="AU716" s="84"/>
      <c r="AV716" s="136"/>
      <c r="AW716" s="77"/>
      <c r="AX716" s="137"/>
      <c r="AY716" s="138"/>
      <c r="AZ716" s="220">
        <f t="shared" si="40"/>
        <v>0</v>
      </c>
      <c r="BA716" s="220">
        <f t="shared" si="41"/>
        <v>0</v>
      </c>
    </row>
    <row r="717" spans="1:53" ht="50.1" customHeight="1" x14ac:dyDescent="0.25">
      <c r="A717" s="17">
        <f t="shared" si="42"/>
        <v>703</v>
      </c>
      <c r="B717" s="228"/>
      <c r="C717" s="221"/>
      <c r="D717" s="88"/>
      <c r="E717" s="100"/>
      <c r="F717" s="95"/>
      <c r="G717" s="114"/>
      <c r="H717" s="96"/>
      <c r="I717" s="97"/>
      <c r="J717" s="98"/>
      <c r="K717" s="101"/>
      <c r="L717" s="124"/>
      <c r="M717" s="333"/>
      <c r="N717" s="341"/>
      <c r="O717" s="82"/>
      <c r="P717" s="93"/>
      <c r="Q717" s="82"/>
      <c r="R717" s="93"/>
      <c r="S717" s="298"/>
      <c r="T717" s="304"/>
      <c r="U717" s="307"/>
      <c r="V717" s="309"/>
      <c r="W717" s="248"/>
      <c r="X717" s="342"/>
      <c r="Y717" s="336"/>
      <c r="Z717" s="123"/>
      <c r="AA717" s="33"/>
      <c r="AB717" s="123"/>
      <c r="AC717" s="33"/>
      <c r="AD717" s="123"/>
      <c r="AE717" s="33"/>
      <c r="AF717" s="123"/>
      <c r="AG717" s="243"/>
      <c r="AH717" s="33"/>
      <c r="AI717" s="245"/>
      <c r="AJ717" s="125"/>
      <c r="AK717" s="91"/>
      <c r="AL717" s="126"/>
      <c r="AM717" s="91"/>
      <c r="AN717" s="91"/>
      <c r="AO717" s="197">
        <f t="shared" si="43"/>
        <v>0</v>
      </c>
      <c r="AP717" s="126"/>
      <c r="AQ717" s="216"/>
      <c r="AR717" s="127"/>
      <c r="AS717" s="269"/>
      <c r="AT717" s="94"/>
      <c r="AU717" s="84"/>
      <c r="AV717" s="80"/>
      <c r="AW717" s="81"/>
      <c r="AX717" s="77"/>
      <c r="AY717" s="107"/>
      <c r="AZ717" s="220">
        <f t="shared" si="40"/>
        <v>0</v>
      </c>
      <c r="BA717" s="220">
        <f t="shared" si="41"/>
        <v>0</v>
      </c>
    </row>
    <row r="718" spans="1:53" ht="50.1" customHeight="1" x14ac:dyDescent="0.25">
      <c r="A718" s="17">
        <f t="shared" si="42"/>
        <v>704</v>
      </c>
      <c r="B718" s="229"/>
      <c r="C718" s="222"/>
      <c r="D718" s="112"/>
      <c r="E718" s="128"/>
      <c r="F718" s="129"/>
      <c r="G718" s="130"/>
      <c r="H718" s="131"/>
      <c r="I718" s="132"/>
      <c r="J718" s="108"/>
      <c r="K718" s="133"/>
      <c r="L718" s="134"/>
      <c r="M718" s="334"/>
      <c r="N718" s="343"/>
      <c r="O718" s="135"/>
      <c r="P718" s="82"/>
      <c r="Q718" s="135"/>
      <c r="R718" s="82"/>
      <c r="S718" s="299"/>
      <c r="T718" s="305"/>
      <c r="U718" s="298"/>
      <c r="V718" s="304"/>
      <c r="W718" s="249"/>
      <c r="X718" s="344"/>
      <c r="Y718" s="337"/>
      <c r="Z718" s="33"/>
      <c r="AA718" s="83"/>
      <c r="AB718" s="33"/>
      <c r="AC718" s="83"/>
      <c r="AD718" s="33"/>
      <c r="AE718" s="83"/>
      <c r="AF718" s="33"/>
      <c r="AG718" s="244"/>
      <c r="AH718" s="83"/>
      <c r="AI718" s="246"/>
      <c r="AJ718" s="102"/>
      <c r="AK718" s="92"/>
      <c r="AL718" s="91"/>
      <c r="AM718" s="92"/>
      <c r="AN718" s="351"/>
      <c r="AO718" s="197">
        <f t="shared" si="43"/>
        <v>0</v>
      </c>
      <c r="AP718" s="91"/>
      <c r="AQ718" s="217"/>
      <c r="AR718" s="103"/>
      <c r="AS718" s="264"/>
      <c r="AT718" s="94"/>
      <c r="AU718" s="84"/>
      <c r="AV718" s="136"/>
      <c r="AW718" s="77"/>
      <c r="AX718" s="137"/>
      <c r="AY718" s="138"/>
      <c r="AZ718" s="220">
        <f t="shared" si="40"/>
        <v>0</v>
      </c>
      <c r="BA718" s="220">
        <f t="shared" si="41"/>
        <v>0</v>
      </c>
    </row>
    <row r="719" spans="1:53" ht="50.1" customHeight="1" x14ac:dyDescent="0.25">
      <c r="A719" s="17">
        <f t="shared" si="42"/>
        <v>705</v>
      </c>
      <c r="B719" s="228"/>
      <c r="C719" s="221"/>
      <c r="D719" s="88"/>
      <c r="E719" s="100"/>
      <c r="F719" s="95"/>
      <c r="G719" s="114"/>
      <c r="H719" s="96"/>
      <c r="I719" s="97"/>
      <c r="J719" s="98"/>
      <c r="K719" s="101"/>
      <c r="L719" s="124"/>
      <c r="M719" s="333"/>
      <c r="N719" s="341"/>
      <c r="O719" s="82"/>
      <c r="P719" s="93"/>
      <c r="Q719" s="82"/>
      <c r="R719" s="93"/>
      <c r="S719" s="298"/>
      <c r="T719" s="304"/>
      <c r="U719" s="307"/>
      <c r="V719" s="309"/>
      <c r="W719" s="248"/>
      <c r="X719" s="342"/>
      <c r="Y719" s="336"/>
      <c r="Z719" s="123"/>
      <c r="AA719" s="33"/>
      <c r="AB719" s="123"/>
      <c r="AC719" s="33"/>
      <c r="AD719" s="123"/>
      <c r="AE719" s="33"/>
      <c r="AF719" s="123"/>
      <c r="AG719" s="243"/>
      <c r="AH719" s="33"/>
      <c r="AI719" s="245"/>
      <c r="AJ719" s="125"/>
      <c r="AK719" s="91"/>
      <c r="AL719" s="126"/>
      <c r="AM719" s="91"/>
      <c r="AN719" s="91"/>
      <c r="AO719" s="197">
        <f t="shared" si="43"/>
        <v>0</v>
      </c>
      <c r="AP719" s="126"/>
      <c r="AQ719" s="216"/>
      <c r="AR719" s="127"/>
      <c r="AS719" s="269"/>
      <c r="AT719" s="94"/>
      <c r="AU719" s="84"/>
      <c r="AV719" s="80"/>
      <c r="AW719" s="81"/>
      <c r="AX719" s="77"/>
      <c r="AY719" s="107"/>
      <c r="AZ719" s="220">
        <f t="shared" ref="AZ719:AZ782" si="44">M719-B719</f>
        <v>0</v>
      </c>
      <c r="BA719" s="220">
        <f t="shared" ref="BA719:BA782" si="45">AU719-M719</f>
        <v>0</v>
      </c>
    </row>
    <row r="720" spans="1:53" ht="50.1" customHeight="1" x14ac:dyDescent="0.25">
      <c r="A720" s="17">
        <f t="shared" ref="A720:A783" si="46">ROW(A706)</f>
        <v>706</v>
      </c>
      <c r="B720" s="229"/>
      <c r="C720" s="222"/>
      <c r="D720" s="112"/>
      <c r="E720" s="128"/>
      <c r="F720" s="129"/>
      <c r="G720" s="130"/>
      <c r="H720" s="131"/>
      <c r="I720" s="132"/>
      <c r="J720" s="108"/>
      <c r="K720" s="133"/>
      <c r="L720" s="134"/>
      <c r="M720" s="334"/>
      <c r="N720" s="343"/>
      <c r="O720" s="135"/>
      <c r="P720" s="82"/>
      <c r="Q720" s="135"/>
      <c r="R720" s="82"/>
      <c r="S720" s="299"/>
      <c r="T720" s="305"/>
      <c r="U720" s="298"/>
      <c r="V720" s="304"/>
      <c r="W720" s="249"/>
      <c r="X720" s="344"/>
      <c r="Y720" s="337"/>
      <c r="Z720" s="33"/>
      <c r="AA720" s="83"/>
      <c r="AB720" s="33"/>
      <c r="AC720" s="83"/>
      <c r="AD720" s="33"/>
      <c r="AE720" s="83"/>
      <c r="AF720" s="33"/>
      <c r="AG720" s="244"/>
      <c r="AH720" s="83"/>
      <c r="AI720" s="246"/>
      <c r="AJ720" s="102"/>
      <c r="AK720" s="92"/>
      <c r="AL720" s="91"/>
      <c r="AM720" s="92"/>
      <c r="AN720" s="351"/>
      <c r="AO720" s="197">
        <f t="shared" ref="AO720:AO783" si="47">AJ720-AK720-AL720-AM720-AN720</f>
        <v>0</v>
      </c>
      <c r="AP720" s="91"/>
      <c r="AQ720" s="217"/>
      <c r="AR720" s="103"/>
      <c r="AS720" s="264"/>
      <c r="AT720" s="94"/>
      <c r="AU720" s="84"/>
      <c r="AV720" s="136"/>
      <c r="AW720" s="77"/>
      <c r="AX720" s="137"/>
      <c r="AY720" s="138"/>
      <c r="AZ720" s="220">
        <f t="shared" si="44"/>
        <v>0</v>
      </c>
      <c r="BA720" s="220">
        <f t="shared" si="45"/>
        <v>0</v>
      </c>
    </row>
    <row r="721" spans="1:53" ht="50.1" customHeight="1" x14ac:dyDescent="0.25">
      <c r="A721" s="17">
        <f t="shared" si="46"/>
        <v>707</v>
      </c>
      <c r="B721" s="228"/>
      <c r="C721" s="221"/>
      <c r="D721" s="88"/>
      <c r="E721" s="100"/>
      <c r="F721" s="95"/>
      <c r="G721" s="114"/>
      <c r="H721" s="96"/>
      <c r="I721" s="97"/>
      <c r="J721" s="98"/>
      <c r="K721" s="101"/>
      <c r="L721" s="124"/>
      <c r="M721" s="333"/>
      <c r="N721" s="341"/>
      <c r="O721" s="82"/>
      <c r="P721" s="93"/>
      <c r="Q721" s="82"/>
      <c r="R721" s="93"/>
      <c r="S721" s="298"/>
      <c r="T721" s="304"/>
      <c r="U721" s="307"/>
      <c r="V721" s="309"/>
      <c r="W721" s="248"/>
      <c r="X721" s="342"/>
      <c r="Y721" s="336"/>
      <c r="Z721" s="123"/>
      <c r="AA721" s="33"/>
      <c r="AB721" s="123"/>
      <c r="AC721" s="33"/>
      <c r="AD721" s="123"/>
      <c r="AE721" s="33"/>
      <c r="AF721" s="123"/>
      <c r="AG721" s="243"/>
      <c r="AH721" s="33"/>
      <c r="AI721" s="245"/>
      <c r="AJ721" s="125"/>
      <c r="AK721" s="91"/>
      <c r="AL721" s="126"/>
      <c r="AM721" s="91"/>
      <c r="AN721" s="91"/>
      <c r="AO721" s="197">
        <f t="shared" si="47"/>
        <v>0</v>
      </c>
      <c r="AP721" s="126"/>
      <c r="AQ721" s="216"/>
      <c r="AR721" s="127"/>
      <c r="AS721" s="269"/>
      <c r="AT721" s="94"/>
      <c r="AU721" s="84"/>
      <c r="AV721" s="80"/>
      <c r="AW721" s="81"/>
      <c r="AX721" s="77"/>
      <c r="AY721" s="107"/>
      <c r="AZ721" s="220">
        <f t="shared" si="44"/>
        <v>0</v>
      </c>
      <c r="BA721" s="220">
        <f t="shared" si="45"/>
        <v>0</v>
      </c>
    </row>
    <row r="722" spans="1:53" ht="50.1" customHeight="1" x14ac:dyDescent="0.25">
      <c r="A722" s="17">
        <f t="shared" si="46"/>
        <v>708</v>
      </c>
      <c r="B722" s="229"/>
      <c r="C722" s="222"/>
      <c r="D722" s="112"/>
      <c r="E722" s="128"/>
      <c r="F722" s="129"/>
      <c r="G722" s="130"/>
      <c r="H722" s="131"/>
      <c r="I722" s="132"/>
      <c r="J722" s="108"/>
      <c r="K722" s="133"/>
      <c r="L722" s="134"/>
      <c r="M722" s="334"/>
      <c r="N722" s="343"/>
      <c r="O722" s="135"/>
      <c r="P722" s="82"/>
      <c r="Q722" s="135"/>
      <c r="R722" s="82"/>
      <c r="S722" s="299"/>
      <c r="T722" s="305"/>
      <c r="U722" s="298"/>
      <c r="V722" s="304"/>
      <c r="W722" s="249"/>
      <c r="X722" s="344"/>
      <c r="Y722" s="337"/>
      <c r="Z722" s="33"/>
      <c r="AA722" s="83"/>
      <c r="AB722" s="33"/>
      <c r="AC722" s="83"/>
      <c r="AD722" s="33"/>
      <c r="AE722" s="83"/>
      <c r="AF722" s="33"/>
      <c r="AG722" s="244"/>
      <c r="AH722" s="83"/>
      <c r="AI722" s="246"/>
      <c r="AJ722" s="102"/>
      <c r="AK722" s="92"/>
      <c r="AL722" s="91"/>
      <c r="AM722" s="92"/>
      <c r="AN722" s="351"/>
      <c r="AO722" s="197">
        <f t="shared" si="47"/>
        <v>0</v>
      </c>
      <c r="AP722" s="91"/>
      <c r="AQ722" s="217"/>
      <c r="AR722" s="103"/>
      <c r="AS722" s="264"/>
      <c r="AT722" s="94"/>
      <c r="AU722" s="84"/>
      <c r="AV722" s="136"/>
      <c r="AW722" s="77"/>
      <c r="AX722" s="137"/>
      <c r="AY722" s="138"/>
      <c r="AZ722" s="220">
        <f t="shared" si="44"/>
        <v>0</v>
      </c>
      <c r="BA722" s="220">
        <f t="shared" si="45"/>
        <v>0</v>
      </c>
    </row>
    <row r="723" spans="1:53" ht="50.1" customHeight="1" x14ac:dyDescent="0.25">
      <c r="A723" s="17">
        <f t="shared" si="46"/>
        <v>709</v>
      </c>
      <c r="B723" s="228"/>
      <c r="C723" s="221"/>
      <c r="D723" s="88"/>
      <c r="E723" s="100"/>
      <c r="F723" s="95"/>
      <c r="G723" s="114"/>
      <c r="H723" s="96"/>
      <c r="I723" s="97"/>
      <c r="J723" s="98"/>
      <c r="K723" s="101"/>
      <c r="L723" s="124"/>
      <c r="M723" s="333"/>
      <c r="N723" s="341"/>
      <c r="O723" s="82"/>
      <c r="P723" s="93"/>
      <c r="Q723" s="82"/>
      <c r="R723" s="93"/>
      <c r="S723" s="298"/>
      <c r="T723" s="304"/>
      <c r="U723" s="307"/>
      <c r="V723" s="309"/>
      <c r="W723" s="248"/>
      <c r="X723" s="342"/>
      <c r="Y723" s="336"/>
      <c r="Z723" s="123"/>
      <c r="AA723" s="33"/>
      <c r="AB723" s="123"/>
      <c r="AC723" s="33"/>
      <c r="AD723" s="123"/>
      <c r="AE723" s="33"/>
      <c r="AF723" s="123"/>
      <c r="AG723" s="243"/>
      <c r="AH723" s="33"/>
      <c r="AI723" s="245"/>
      <c r="AJ723" s="125"/>
      <c r="AK723" s="91"/>
      <c r="AL723" s="126"/>
      <c r="AM723" s="91"/>
      <c r="AN723" s="91"/>
      <c r="AO723" s="197">
        <f t="shared" si="47"/>
        <v>0</v>
      </c>
      <c r="AP723" s="126"/>
      <c r="AQ723" s="216"/>
      <c r="AR723" s="127"/>
      <c r="AS723" s="269"/>
      <c r="AT723" s="94"/>
      <c r="AU723" s="84"/>
      <c r="AV723" s="80"/>
      <c r="AW723" s="81"/>
      <c r="AX723" s="77"/>
      <c r="AY723" s="107"/>
      <c r="AZ723" s="220">
        <f t="shared" si="44"/>
        <v>0</v>
      </c>
      <c r="BA723" s="220">
        <f t="shared" si="45"/>
        <v>0</v>
      </c>
    </row>
    <row r="724" spans="1:53" ht="50.1" customHeight="1" x14ac:dyDescent="0.25">
      <c r="A724" s="17">
        <f t="shared" si="46"/>
        <v>710</v>
      </c>
      <c r="B724" s="229"/>
      <c r="C724" s="222"/>
      <c r="D724" s="112"/>
      <c r="E724" s="128"/>
      <c r="F724" s="129"/>
      <c r="G724" s="130"/>
      <c r="H724" s="131"/>
      <c r="I724" s="132"/>
      <c r="J724" s="108"/>
      <c r="K724" s="133"/>
      <c r="L724" s="134"/>
      <c r="M724" s="334"/>
      <c r="N724" s="343"/>
      <c r="O724" s="135"/>
      <c r="P724" s="82"/>
      <c r="Q724" s="135"/>
      <c r="R724" s="82"/>
      <c r="S724" s="299"/>
      <c r="T724" s="305"/>
      <c r="U724" s="298"/>
      <c r="V724" s="304"/>
      <c r="W724" s="249"/>
      <c r="X724" s="344"/>
      <c r="Y724" s="337"/>
      <c r="Z724" s="33"/>
      <c r="AA724" s="83"/>
      <c r="AB724" s="33"/>
      <c r="AC724" s="83"/>
      <c r="AD724" s="33"/>
      <c r="AE724" s="83"/>
      <c r="AF724" s="33"/>
      <c r="AG724" s="244"/>
      <c r="AH724" s="83"/>
      <c r="AI724" s="246"/>
      <c r="AJ724" s="102"/>
      <c r="AK724" s="92"/>
      <c r="AL724" s="91"/>
      <c r="AM724" s="92"/>
      <c r="AN724" s="351"/>
      <c r="AO724" s="197">
        <f t="shared" si="47"/>
        <v>0</v>
      </c>
      <c r="AP724" s="91"/>
      <c r="AQ724" s="217"/>
      <c r="AR724" s="103"/>
      <c r="AS724" s="264"/>
      <c r="AT724" s="94"/>
      <c r="AU724" s="84"/>
      <c r="AV724" s="136"/>
      <c r="AW724" s="77"/>
      <c r="AX724" s="137"/>
      <c r="AY724" s="138"/>
      <c r="AZ724" s="220">
        <f t="shared" si="44"/>
        <v>0</v>
      </c>
      <c r="BA724" s="220">
        <f t="shared" si="45"/>
        <v>0</v>
      </c>
    </row>
    <row r="725" spans="1:53" ht="50.1" customHeight="1" x14ac:dyDescent="0.25">
      <c r="A725" s="17">
        <f t="shared" si="46"/>
        <v>711</v>
      </c>
      <c r="B725" s="228"/>
      <c r="C725" s="221"/>
      <c r="D725" s="88"/>
      <c r="E725" s="100"/>
      <c r="F725" s="95"/>
      <c r="G725" s="114"/>
      <c r="H725" s="96"/>
      <c r="I725" s="97"/>
      <c r="J725" s="98"/>
      <c r="K725" s="101"/>
      <c r="L725" s="124"/>
      <c r="M725" s="333"/>
      <c r="N725" s="341"/>
      <c r="O725" s="82"/>
      <c r="P725" s="93"/>
      <c r="Q725" s="82"/>
      <c r="R725" s="93"/>
      <c r="S725" s="298"/>
      <c r="T725" s="304"/>
      <c r="U725" s="307"/>
      <c r="V725" s="309"/>
      <c r="W725" s="248"/>
      <c r="X725" s="342"/>
      <c r="Y725" s="336"/>
      <c r="Z725" s="123"/>
      <c r="AA725" s="33"/>
      <c r="AB725" s="123"/>
      <c r="AC725" s="33"/>
      <c r="AD725" s="123"/>
      <c r="AE725" s="33"/>
      <c r="AF725" s="123"/>
      <c r="AG725" s="243"/>
      <c r="AH725" s="33"/>
      <c r="AI725" s="245"/>
      <c r="AJ725" s="125"/>
      <c r="AK725" s="91"/>
      <c r="AL725" s="126"/>
      <c r="AM725" s="91"/>
      <c r="AN725" s="91"/>
      <c r="AO725" s="197">
        <f t="shared" si="47"/>
        <v>0</v>
      </c>
      <c r="AP725" s="126"/>
      <c r="AQ725" s="216"/>
      <c r="AR725" s="127"/>
      <c r="AS725" s="269"/>
      <c r="AT725" s="94"/>
      <c r="AU725" s="84"/>
      <c r="AV725" s="80"/>
      <c r="AW725" s="81"/>
      <c r="AX725" s="77"/>
      <c r="AY725" s="107"/>
      <c r="AZ725" s="220">
        <f t="shared" si="44"/>
        <v>0</v>
      </c>
      <c r="BA725" s="220">
        <f t="shared" si="45"/>
        <v>0</v>
      </c>
    </row>
    <row r="726" spans="1:53" ht="50.1" customHeight="1" x14ac:dyDescent="0.25">
      <c r="A726" s="17">
        <f t="shared" si="46"/>
        <v>712</v>
      </c>
      <c r="B726" s="229"/>
      <c r="C726" s="222"/>
      <c r="D726" s="112"/>
      <c r="E726" s="128"/>
      <c r="F726" s="129"/>
      <c r="G726" s="130"/>
      <c r="H726" s="131"/>
      <c r="I726" s="132"/>
      <c r="J726" s="108"/>
      <c r="K726" s="133"/>
      <c r="L726" s="134"/>
      <c r="M726" s="334"/>
      <c r="N726" s="343"/>
      <c r="O726" s="135"/>
      <c r="P726" s="82"/>
      <c r="Q726" s="135"/>
      <c r="R726" s="82"/>
      <c r="S726" s="299"/>
      <c r="T726" s="305"/>
      <c r="U726" s="298"/>
      <c r="V726" s="304"/>
      <c r="W726" s="249"/>
      <c r="X726" s="344"/>
      <c r="Y726" s="337"/>
      <c r="Z726" s="33"/>
      <c r="AA726" s="83"/>
      <c r="AB726" s="33"/>
      <c r="AC726" s="83"/>
      <c r="AD726" s="33"/>
      <c r="AE726" s="83"/>
      <c r="AF726" s="33"/>
      <c r="AG726" s="244"/>
      <c r="AH726" s="83"/>
      <c r="AI726" s="246"/>
      <c r="AJ726" s="102"/>
      <c r="AK726" s="92"/>
      <c r="AL726" s="91"/>
      <c r="AM726" s="92"/>
      <c r="AN726" s="351"/>
      <c r="AO726" s="197">
        <f t="shared" si="47"/>
        <v>0</v>
      </c>
      <c r="AP726" s="91"/>
      <c r="AQ726" s="217"/>
      <c r="AR726" s="103"/>
      <c r="AS726" s="264"/>
      <c r="AT726" s="94"/>
      <c r="AU726" s="84"/>
      <c r="AV726" s="136"/>
      <c r="AW726" s="77"/>
      <c r="AX726" s="137"/>
      <c r="AY726" s="138"/>
      <c r="AZ726" s="220">
        <f t="shared" si="44"/>
        <v>0</v>
      </c>
      <c r="BA726" s="220">
        <f t="shared" si="45"/>
        <v>0</v>
      </c>
    </row>
    <row r="727" spans="1:53" ht="50.1" customHeight="1" x14ac:dyDescent="0.25">
      <c r="A727" s="17">
        <f t="shared" si="46"/>
        <v>713</v>
      </c>
      <c r="B727" s="228"/>
      <c r="C727" s="221"/>
      <c r="D727" s="88"/>
      <c r="E727" s="100"/>
      <c r="F727" s="95"/>
      <c r="G727" s="114"/>
      <c r="H727" s="96"/>
      <c r="I727" s="97"/>
      <c r="J727" s="98"/>
      <c r="K727" s="101"/>
      <c r="L727" s="124"/>
      <c r="M727" s="333"/>
      <c r="N727" s="341"/>
      <c r="O727" s="82"/>
      <c r="P727" s="93"/>
      <c r="Q727" s="82"/>
      <c r="R727" s="93"/>
      <c r="S727" s="298"/>
      <c r="T727" s="304"/>
      <c r="U727" s="307"/>
      <c r="V727" s="309"/>
      <c r="W727" s="248"/>
      <c r="X727" s="342"/>
      <c r="Y727" s="336"/>
      <c r="Z727" s="123"/>
      <c r="AA727" s="33"/>
      <c r="AB727" s="123"/>
      <c r="AC727" s="33"/>
      <c r="AD727" s="123"/>
      <c r="AE727" s="33"/>
      <c r="AF727" s="123"/>
      <c r="AG727" s="243"/>
      <c r="AH727" s="33"/>
      <c r="AI727" s="245"/>
      <c r="AJ727" s="125"/>
      <c r="AK727" s="91"/>
      <c r="AL727" s="126"/>
      <c r="AM727" s="91"/>
      <c r="AN727" s="91"/>
      <c r="AO727" s="197">
        <f t="shared" si="47"/>
        <v>0</v>
      </c>
      <c r="AP727" s="126"/>
      <c r="AQ727" s="216"/>
      <c r="AR727" s="127"/>
      <c r="AS727" s="269"/>
      <c r="AT727" s="94"/>
      <c r="AU727" s="84"/>
      <c r="AV727" s="80"/>
      <c r="AW727" s="81"/>
      <c r="AX727" s="77"/>
      <c r="AY727" s="107"/>
      <c r="AZ727" s="220">
        <f t="shared" si="44"/>
        <v>0</v>
      </c>
      <c r="BA727" s="220">
        <f t="shared" si="45"/>
        <v>0</v>
      </c>
    </row>
    <row r="728" spans="1:53" ht="50.1" customHeight="1" x14ac:dyDescent="0.25">
      <c r="A728" s="17">
        <f t="shared" si="46"/>
        <v>714</v>
      </c>
      <c r="B728" s="229"/>
      <c r="C728" s="222"/>
      <c r="D728" s="112"/>
      <c r="E728" s="128"/>
      <c r="F728" s="129"/>
      <c r="G728" s="130"/>
      <c r="H728" s="131"/>
      <c r="I728" s="132"/>
      <c r="J728" s="108"/>
      <c r="K728" s="133"/>
      <c r="L728" s="134"/>
      <c r="M728" s="334"/>
      <c r="N728" s="343"/>
      <c r="O728" s="135"/>
      <c r="P728" s="82"/>
      <c r="Q728" s="135"/>
      <c r="R728" s="82"/>
      <c r="S728" s="299"/>
      <c r="T728" s="305"/>
      <c r="U728" s="298"/>
      <c r="V728" s="304"/>
      <c r="W728" s="249"/>
      <c r="X728" s="344"/>
      <c r="Y728" s="337"/>
      <c r="Z728" s="33"/>
      <c r="AA728" s="83"/>
      <c r="AB728" s="33"/>
      <c r="AC728" s="83"/>
      <c r="AD728" s="33"/>
      <c r="AE728" s="83"/>
      <c r="AF728" s="33"/>
      <c r="AG728" s="244"/>
      <c r="AH728" s="83"/>
      <c r="AI728" s="246"/>
      <c r="AJ728" s="102"/>
      <c r="AK728" s="92"/>
      <c r="AL728" s="91"/>
      <c r="AM728" s="92"/>
      <c r="AN728" s="351"/>
      <c r="AO728" s="197">
        <f t="shared" si="47"/>
        <v>0</v>
      </c>
      <c r="AP728" s="91"/>
      <c r="AQ728" s="217"/>
      <c r="AR728" s="103"/>
      <c r="AS728" s="264"/>
      <c r="AT728" s="94"/>
      <c r="AU728" s="84"/>
      <c r="AV728" s="136"/>
      <c r="AW728" s="77"/>
      <c r="AX728" s="137"/>
      <c r="AY728" s="138"/>
      <c r="AZ728" s="220">
        <f t="shared" si="44"/>
        <v>0</v>
      </c>
      <c r="BA728" s="220">
        <f t="shared" si="45"/>
        <v>0</v>
      </c>
    </row>
    <row r="729" spans="1:53" ht="50.1" customHeight="1" x14ac:dyDescent="0.25">
      <c r="A729" s="17">
        <f t="shared" si="46"/>
        <v>715</v>
      </c>
      <c r="B729" s="228"/>
      <c r="C729" s="221"/>
      <c r="D729" s="88"/>
      <c r="E729" s="100"/>
      <c r="F729" s="95"/>
      <c r="G729" s="114"/>
      <c r="H729" s="96"/>
      <c r="I729" s="97"/>
      <c r="J729" s="98"/>
      <c r="K729" s="101"/>
      <c r="L729" s="124"/>
      <c r="M729" s="333"/>
      <c r="N729" s="341"/>
      <c r="O729" s="82"/>
      <c r="P729" s="93"/>
      <c r="Q729" s="82"/>
      <c r="R729" s="93"/>
      <c r="S729" s="298"/>
      <c r="T729" s="304"/>
      <c r="U729" s="307"/>
      <c r="V729" s="309"/>
      <c r="W729" s="248"/>
      <c r="X729" s="342"/>
      <c r="Y729" s="336"/>
      <c r="Z729" s="123"/>
      <c r="AA729" s="33"/>
      <c r="AB729" s="123"/>
      <c r="AC729" s="33"/>
      <c r="AD729" s="123"/>
      <c r="AE729" s="33"/>
      <c r="AF729" s="123"/>
      <c r="AG729" s="243"/>
      <c r="AH729" s="33"/>
      <c r="AI729" s="245"/>
      <c r="AJ729" s="125"/>
      <c r="AK729" s="91"/>
      <c r="AL729" s="126"/>
      <c r="AM729" s="91"/>
      <c r="AN729" s="91"/>
      <c r="AO729" s="197">
        <f t="shared" si="47"/>
        <v>0</v>
      </c>
      <c r="AP729" s="126"/>
      <c r="AQ729" s="216"/>
      <c r="AR729" s="127"/>
      <c r="AS729" s="269"/>
      <c r="AT729" s="94"/>
      <c r="AU729" s="84"/>
      <c r="AV729" s="80"/>
      <c r="AW729" s="81"/>
      <c r="AX729" s="77"/>
      <c r="AY729" s="107"/>
      <c r="AZ729" s="220">
        <f t="shared" si="44"/>
        <v>0</v>
      </c>
      <c r="BA729" s="220">
        <f t="shared" si="45"/>
        <v>0</v>
      </c>
    </row>
    <row r="730" spans="1:53" ht="50.1" customHeight="1" x14ac:dyDescent="0.25">
      <c r="A730" s="17">
        <f t="shared" si="46"/>
        <v>716</v>
      </c>
      <c r="B730" s="229"/>
      <c r="C730" s="222"/>
      <c r="D730" s="112"/>
      <c r="E730" s="128"/>
      <c r="F730" s="129"/>
      <c r="G730" s="130"/>
      <c r="H730" s="131"/>
      <c r="I730" s="132"/>
      <c r="J730" s="108"/>
      <c r="K730" s="133"/>
      <c r="L730" s="134"/>
      <c r="M730" s="334"/>
      <c r="N730" s="343"/>
      <c r="O730" s="135"/>
      <c r="P730" s="82"/>
      <c r="Q730" s="135"/>
      <c r="R730" s="82"/>
      <c r="S730" s="299"/>
      <c r="T730" s="305"/>
      <c r="U730" s="298"/>
      <c r="V730" s="304"/>
      <c r="W730" s="249"/>
      <c r="X730" s="344"/>
      <c r="Y730" s="337"/>
      <c r="Z730" s="33"/>
      <c r="AA730" s="83"/>
      <c r="AB730" s="33"/>
      <c r="AC730" s="83"/>
      <c r="AD730" s="33"/>
      <c r="AE730" s="83"/>
      <c r="AF730" s="33"/>
      <c r="AG730" s="244"/>
      <c r="AH730" s="83"/>
      <c r="AI730" s="246"/>
      <c r="AJ730" s="102"/>
      <c r="AK730" s="92"/>
      <c r="AL730" s="91"/>
      <c r="AM730" s="92"/>
      <c r="AN730" s="351"/>
      <c r="AO730" s="197">
        <f t="shared" si="47"/>
        <v>0</v>
      </c>
      <c r="AP730" s="91"/>
      <c r="AQ730" s="217"/>
      <c r="AR730" s="103"/>
      <c r="AS730" s="264"/>
      <c r="AT730" s="94"/>
      <c r="AU730" s="84"/>
      <c r="AV730" s="136"/>
      <c r="AW730" s="77"/>
      <c r="AX730" s="137"/>
      <c r="AY730" s="138"/>
      <c r="AZ730" s="220">
        <f t="shared" si="44"/>
        <v>0</v>
      </c>
      <c r="BA730" s="220">
        <f t="shared" si="45"/>
        <v>0</v>
      </c>
    </row>
    <row r="731" spans="1:53" ht="50.1" customHeight="1" x14ac:dyDescent="0.25">
      <c r="A731" s="17">
        <f t="shared" si="46"/>
        <v>717</v>
      </c>
      <c r="B731" s="228"/>
      <c r="C731" s="221"/>
      <c r="D731" s="88"/>
      <c r="E731" s="100"/>
      <c r="F731" s="95"/>
      <c r="G731" s="114"/>
      <c r="H731" s="96"/>
      <c r="I731" s="97"/>
      <c r="J731" s="98"/>
      <c r="K731" s="101"/>
      <c r="L731" s="124"/>
      <c r="M731" s="333"/>
      <c r="N731" s="341"/>
      <c r="O731" s="82"/>
      <c r="P731" s="93"/>
      <c r="Q731" s="82"/>
      <c r="R731" s="93"/>
      <c r="S731" s="298"/>
      <c r="T731" s="304"/>
      <c r="U731" s="307"/>
      <c r="V731" s="309"/>
      <c r="W731" s="248"/>
      <c r="X731" s="342"/>
      <c r="Y731" s="336"/>
      <c r="Z731" s="123"/>
      <c r="AA731" s="33"/>
      <c r="AB731" s="123"/>
      <c r="AC731" s="33"/>
      <c r="AD731" s="123"/>
      <c r="AE731" s="33"/>
      <c r="AF731" s="123"/>
      <c r="AG731" s="243"/>
      <c r="AH731" s="33"/>
      <c r="AI731" s="245"/>
      <c r="AJ731" s="125"/>
      <c r="AK731" s="91"/>
      <c r="AL731" s="126"/>
      <c r="AM731" s="91"/>
      <c r="AN731" s="91"/>
      <c r="AO731" s="197">
        <f t="shared" si="47"/>
        <v>0</v>
      </c>
      <c r="AP731" s="126"/>
      <c r="AQ731" s="216"/>
      <c r="AR731" s="127"/>
      <c r="AS731" s="269"/>
      <c r="AT731" s="94"/>
      <c r="AU731" s="84"/>
      <c r="AV731" s="80"/>
      <c r="AW731" s="81"/>
      <c r="AX731" s="77"/>
      <c r="AY731" s="107"/>
      <c r="AZ731" s="220">
        <f t="shared" si="44"/>
        <v>0</v>
      </c>
      <c r="BA731" s="220">
        <f t="shared" si="45"/>
        <v>0</v>
      </c>
    </row>
    <row r="732" spans="1:53" ht="50.1" customHeight="1" x14ac:dyDescent="0.25">
      <c r="A732" s="17">
        <f t="shared" si="46"/>
        <v>718</v>
      </c>
      <c r="B732" s="229"/>
      <c r="C732" s="222"/>
      <c r="D732" s="112"/>
      <c r="E732" s="128"/>
      <c r="F732" s="129"/>
      <c r="G732" s="130"/>
      <c r="H732" s="131"/>
      <c r="I732" s="132"/>
      <c r="J732" s="108"/>
      <c r="K732" s="133"/>
      <c r="L732" s="134"/>
      <c r="M732" s="334"/>
      <c r="N732" s="343"/>
      <c r="O732" s="135"/>
      <c r="P732" s="82"/>
      <c r="Q732" s="135"/>
      <c r="R732" s="82"/>
      <c r="S732" s="299"/>
      <c r="T732" s="305"/>
      <c r="U732" s="298"/>
      <c r="V732" s="304"/>
      <c r="W732" s="249"/>
      <c r="X732" s="344"/>
      <c r="Y732" s="337"/>
      <c r="Z732" s="33"/>
      <c r="AA732" s="83"/>
      <c r="AB732" s="33"/>
      <c r="AC732" s="83"/>
      <c r="AD732" s="33"/>
      <c r="AE732" s="83"/>
      <c r="AF732" s="33"/>
      <c r="AG732" s="244"/>
      <c r="AH732" s="83"/>
      <c r="AI732" s="246"/>
      <c r="AJ732" s="102"/>
      <c r="AK732" s="92"/>
      <c r="AL732" s="91"/>
      <c r="AM732" s="92"/>
      <c r="AN732" s="351"/>
      <c r="AO732" s="197">
        <f t="shared" si="47"/>
        <v>0</v>
      </c>
      <c r="AP732" s="91"/>
      <c r="AQ732" s="217"/>
      <c r="AR732" s="103"/>
      <c r="AS732" s="264"/>
      <c r="AT732" s="94"/>
      <c r="AU732" s="84"/>
      <c r="AV732" s="136"/>
      <c r="AW732" s="77"/>
      <c r="AX732" s="137"/>
      <c r="AY732" s="138"/>
      <c r="AZ732" s="220">
        <f t="shared" si="44"/>
        <v>0</v>
      </c>
      <c r="BA732" s="220">
        <f t="shared" si="45"/>
        <v>0</v>
      </c>
    </row>
    <row r="733" spans="1:53" ht="50.1" customHeight="1" x14ac:dyDescent="0.25">
      <c r="A733" s="17">
        <f t="shared" si="46"/>
        <v>719</v>
      </c>
      <c r="B733" s="228"/>
      <c r="C733" s="221"/>
      <c r="D733" s="88"/>
      <c r="E733" s="100"/>
      <c r="F733" s="95"/>
      <c r="G733" s="114"/>
      <c r="H733" s="96"/>
      <c r="I733" s="97"/>
      <c r="J733" s="98"/>
      <c r="K733" s="101"/>
      <c r="L733" s="124"/>
      <c r="M733" s="333"/>
      <c r="N733" s="341"/>
      <c r="O733" s="82"/>
      <c r="P733" s="93"/>
      <c r="Q733" s="82"/>
      <c r="R733" s="93"/>
      <c r="S733" s="298"/>
      <c r="T733" s="304"/>
      <c r="U733" s="307"/>
      <c r="V733" s="309"/>
      <c r="W733" s="248"/>
      <c r="X733" s="342"/>
      <c r="Y733" s="336"/>
      <c r="Z733" s="123"/>
      <c r="AA733" s="33"/>
      <c r="AB733" s="123"/>
      <c r="AC733" s="33"/>
      <c r="AD733" s="123"/>
      <c r="AE733" s="33"/>
      <c r="AF733" s="123"/>
      <c r="AG733" s="243"/>
      <c r="AH733" s="33"/>
      <c r="AI733" s="245"/>
      <c r="AJ733" s="125"/>
      <c r="AK733" s="91"/>
      <c r="AL733" s="126"/>
      <c r="AM733" s="91"/>
      <c r="AN733" s="91"/>
      <c r="AO733" s="197">
        <f t="shared" si="47"/>
        <v>0</v>
      </c>
      <c r="AP733" s="126"/>
      <c r="AQ733" s="216"/>
      <c r="AR733" s="127"/>
      <c r="AS733" s="269"/>
      <c r="AT733" s="94"/>
      <c r="AU733" s="84"/>
      <c r="AV733" s="80"/>
      <c r="AW733" s="81"/>
      <c r="AX733" s="77"/>
      <c r="AY733" s="107"/>
      <c r="AZ733" s="220">
        <f t="shared" si="44"/>
        <v>0</v>
      </c>
      <c r="BA733" s="220">
        <f t="shared" si="45"/>
        <v>0</v>
      </c>
    </row>
    <row r="734" spans="1:53" ht="50.1" customHeight="1" x14ac:dyDescent="0.25">
      <c r="A734" s="17">
        <f t="shared" si="46"/>
        <v>720</v>
      </c>
      <c r="B734" s="229"/>
      <c r="C734" s="222"/>
      <c r="D734" s="112"/>
      <c r="E734" s="128"/>
      <c r="F734" s="129"/>
      <c r="G734" s="130"/>
      <c r="H734" s="131"/>
      <c r="I734" s="132"/>
      <c r="J734" s="108"/>
      <c r="K734" s="133"/>
      <c r="L734" s="134"/>
      <c r="M734" s="334"/>
      <c r="N734" s="343"/>
      <c r="O734" s="135"/>
      <c r="P734" s="82"/>
      <c r="Q734" s="135"/>
      <c r="R734" s="82"/>
      <c r="S734" s="299"/>
      <c r="T734" s="305"/>
      <c r="U734" s="298"/>
      <c r="V734" s="304"/>
      <c r="W734" s="249"/>
      <c r="X734" s="344"/>
      <c r="Y734" s="337"/>
      <c r="Z734" s="33"/>
      <c r="AA734" s="83"/>
      <c r="AB734" s="33"/>
      <c r="AC734" s="83"/>
      <c r="AD734" s="33"/>
      <c r="AE734" s="83"/>
      <c r="AF734" s="33"/>
      <c r="AG734" s="244"/>
      <c r="AH734" s="83"/>
      <c r="AI734" s="246"/>
      <c r="AJ734" s="102"/>
      <c r="AK734" s="92"/>
      <c r="AL734" s="91"/>
      <c r="AM734" s="92"/>
      <c r="AN734" s="351"/>
      <c r="AO734" s="197">
        <f t="shared" si="47"/>
        <v>0</v>
      </c>
      <c r="AP734" s="91"/>
      <c r="AQ734" s="217"/>
      <c r="AR734" s="103"/>
      <c r="AS734" s="264"/>
      <c r="AT734" s="94"/>
      <c r="AU734" s="84"/>
      <c r="AV734" s="136"/>
      <c r="AW734" s="77"/>
      <c r="AX734" s="137"/>
      <c r="AY734" s="138"/>
      <c r="AZ734" s="220">
        <f t="shared" si="44"/>
        <v>0</v>
      </c>
      <c r="BA734" s="220">
        <f t="shared" si="45"/>
        <v>0</v>
      </c>
    </row>
    <row r="735" spans="1:53" ht="50.1" customHeight="1" x14ac:dyDescent="0.25">
      <c r="A735" s="17">
        <f t="shared" si="46"/>
        <v>721</v>
      </c>
      <c r="B735" s="228"/>
      <c r="C735" s="221"/>
      <c r="D735" s="88"/>
      <c r="E735" s="100"/>
      <c r="F735" s="95"/>
      <c r="G735" s="114"/>
      <c r="H735" s="96"/>
      <c r="I735" s="97"/>
      <c r="J735" s="98"/>
      <c r="K735" s="101"/>
      <c r="L735" s="124"/>
      <c r="M735" s="333"/>
      <c r="N735" s="341"/>
      <c r="O735" s="82"/>
      <c r="P735" s="93"/>
      <c r="Q735" s="82"/>
      <c r="R735" s="93"/>
      <c r="S735" s="298"/>
      <c r="T735" s="304"/>
      <c r="U735" s="307"/>
      <c r="V735" s="309"/>
      <c r="W735" s="248"/>
      <c r="X735" s="342"/>
      <c r="Y735" s="336"/>
      <c r="Z735" s="123"/>
      <c r="AA735" s="33"/>
      <c r="AB735" s="123"/>
      <c r="AC735" s="33"/>
      <c r="AD735" s="123"/>
      <c r="AE735" s="33"/>
      <c r="AF735" s="123"/>
      <c r="AG735" s="243"/>
      <c r="AH735" s="33"/>
      <c r="AI735" s="245"/>
      <c r="AJ735" s="125"/>
      <c r="AK735" s="91"/>
      <c r="AL735" s="126"/>
      <c r="AM735" s="91"/>
      <c r="AN735" s="91"/>
      <c r="AO735" s="197">
        <f t="shared" si="47"/>
        <v>0</v>
      </c>
      <c r="AP735" s="126"/>
      <c r="AQ735" s="216"/>
      <c r="AR735" s="127"/>
      <c r="AS735" s="269"/>
      <c r="AT735" s="94"/>
      <c r="AU735" s="84"/>
      <c r="AV735" s="80"/>
      <c r="AW735" s="81"/>
      <c r="AX735" s="77"/>
      <c r="AY735" s="107"/>
      <c r="AZ735" s="220">
        <f t="shared" si="44"/>
        <v>0</v>
      </c>
      <c r="BA735" s="220">
        <f t="shared" si="45"/>
        <v>0</v>
      </c>
    </row>
    <row r="736" spans="1:53" ht="50.1" customHeight="1" x14ac:dyDescent="0.25">
      <c r="A736" s="17">
        <f t="shared" si="46"/>
        <v>722</v>
      </c>
      <c r="B736" s="229"/>
      <c r="C736" s="222"/>
      <c r="D736" s="112"/>
      <c r="E736" s="128"/>
      <c r="F736" s="129"/>
      <c r="G736" s="130"/>
      <c r="H736" s="131"/>
      <c r="I736" s="132"/>
      <c r="J736" s="108"/>
      <c r="K736" s="133"/>
      <c r="L736" s="134"/>
      <c r="M736" s="334"/>
      <c r="N736" s="343"/>
      <c r="O736" s="135"/>
      <c r="P736" s="82"/>
      <c r="Q736" s="135"/>
      <c r="R736" s="82"/>
      <c r="S736" s="299"/>
      <c r="T736" s="305"/>
      <c r="U736" s="298"/>
      <c r="V736" s="304"/>
      <c r="W736" s="249"/>
      <c r="X736" s="344"/>
      <c r="Y736" s="337"/>
      <c r="Z736" s="33"/>
      <c r="AA736" s="83"/>
      <c r="AB736" s="33"/>
      <c r="AC736" s="83"/>
      <c r="AD736" s="33"/>
      <c r="AE736" s="83"/>
      <c r="AF736" s="33"/>
      <c r="AG736" s="244"/>
      <c r="AH736" s="83"/>
      <c r="AI736" s="246"/>
      <c r="AJ736" s="102"/>
      <c r="AK736" s="92"/>
      <c r="AL736" s="91"/>
      <c r="AM736" s="92"/>
      <c r="AN736" s="351"/>
      <c r="AO736" s="197">
        <f t="shared" si="47"/>
        <v>0</v>
      </c>
      <c r="AP736" s="91"/>
      <c r="AQ736" s="217"/>
      <c r="AR736" s="103"/>
      <c r="AS736" s="264"/>
      <c r="AT736" s="94"/>
      <c r="AU736" s="84"/>
      <c r="AV736" s="136"/>
      <c r="AW736" s="77"/>
      <c r="AX736" s="137"/>
      <c r="AY736" s="138"/>
      <c r="AZ736" s="220">
        <f t="shared" si="44"/>
        <v>0</v>
      </c>
      <c r="BA736" s="220">
        <f t="shared" si="45"/>
        <v>0</v>
      </c>
    </row>
    <row r="737" spans="1:53" ht="50.1" customHeight="1" x14ac:dyDescent="0.25">
      <c r="A737" s="17">
        <f t="shared" si="46"/>
        <v>723</v>
      </c>
      <c r="B737" s="228"/>
      <c r="C737" s="221"/>
      <c r="D737" s="88"/>
      <c r="E737" s="100"/>
      <c r="F737" s="95"/>
      <c r="G737" s="114"/>
      <c r="H737" s="96"/>
      <c r="I737" s="97"/>
      <c r="J737" s="98"/>
      <c r="K737" s="101"/>
      <c r="L737" s="124"/>
      <c r="M737" s="333"/>
      <c r="N737" s="341"/>
      <c r="O737" s="82"/>
      <c r="P737" s="93"/>
      <c r="Q737" s="82"/>
      <c r="R737" s="93"/>
      <c r="S737" s="298"/>
      <c r="T737" s="304"/>
      <c r="U737" s="307"/>
      <c r="V737" s="309"/>
      <c r="W737" s="248"/>
      <c r="X737" s="342"/>
      <c r="Y737" s="336"/>
      <c r="Z737" s="123"/>
      <c r="AA737" s="33"/>
      <c r="AB737" s="123"/>
      <c r="AC737" s="33"/>
      <c r="AD737" s="123"/>
      <c r="AE737" s="33"/>
      <c r="AF737" s="123"/>
      <c r="AG737" s="243"/>
      <c r="AH737" s="33"/>
      <c r="AI737" s="245"/>
      <c r="AJ737" s="125"/>
      <c r="AK737" s="91"/>
      <c r="AL737" s="126"/>
      <c r="AM737" s="91"/>
      <c r="AN737" s="91"/>
      <c r="AO737" s="197">
        <f t="shared" si="47"/>
        <v>0</v>
      </c>
      <c r="AP737" s="126"/>
      <c r="AQ737" s="216"/>
      <c r="AR737" s="127"/>
      <c r="AS737" s="269"/>
      <c r="AT737" s="94"/>
      <c r="AU737" s="84"/>
      <c r="AV737" s="80"/>
      <c r="AW737" s="81"/>
      <c r="AX737" s="77"/>
      <c r="AY737" s="107"/>
      <c r="AZ737" s="220">
        <f t="shared" si="44"/>
        <v>0</v>
      </c>
      <c r="BA737" s="220">
        <f t="shared" si="45"/>
        <v>0</v>
      </c>
    </row>
    <row r="738" spans="1:53" ht="50.1" customHeight="1" x14ac:dyDescent="0.25">
      <c r="A738" s="17">
        <f t="shared" si="46"/>
        <v>724</v>
      </c>
      <c r="B738" s="229"/>
      <c r="C738" s="222"/>
      <c r="D738" s="112"/>
      <c r="E738" s="128"/>
      <c r="F738" s="129"/>
      <c r="G738" s="130"/>
      <c r="H738" s="131"/>
      <c r="I738" s="132"/>
      <c r="J738" s="108"/>
      <c r="K738" s="133"/>
      <c r="L738" s="134"/>
      <c r="M738" s="334"/>
      <c r="N738" s="343"/>
      <c r="O738" s="135"/>
      <c r="P738" s="82"/>
      <c r="Q738" s="135"/>
      <c r="R738" s="82"/>
      <c r="S738" s="299"/>
      <c r="T738" s="305"/>
      <c r="U738" s="298"/>
      <c r="V738" s="304"/>
      <c r="W738" s="249"/>
      <c r="X738" s="344"/>
      <c r="Y738" s="337"/>
      <c r="Z738" s="33"/>
      <c r="AA738" s="83"/>
      <c r="AB738" s="33"/>
      <c r="AC738" s="83"/>
      <c r="AD738" s="33"/>
      <c r="AE738" s="83"/>
      <c r="AF738" s="33"/>
      <c r="AG738" s="244"/>
      <c r="AH738" s="83"/>
      <c r="AI738" s="246"/>
      <c r="AJ738" s="102"/>
      <c r="AK738" s="92"/>
      <c r="AL738" s="91"/>
      <c r="AM738" s="92"/>
      <c r="AN738" s="351"/>
      <c r="AO738" s="197">
        <f t="shared" si="47"/>
        <v>0</v>
      </c>
      <c r="AP738" s="91"/>
      <c r="AQ738" s="217"/>
      <c r="AR738" s="103"/>
      <c r="AS738" s="264"/>
      <c r="AT738" s="94"/>
      <c r="AU738" s="84"/>
      <c r="AV738" s="136"/>
      <c r="AW738" s="77"/>
      <c r="AX738" s="137"/>
      <c r="AY738" s="138"/>
      <c r="AZ738" s="220">
        <f t="shared" si="44"/>
        <v>0</v>
      </c>
      <c r="BA738" s="220">
        <f t="shared" si="45"/>
        <v>0</v>
      </c>
    </row>
    <row r="739" spans="1:53" ht="50.1" customHeight="1" x14ac:dyDescent="0.25">
      <c r="A739" s="17">
        <f t="shared" si="46"/>
        <v>725</v>
      </c>
      <c r="B739" s="228"/>
      <c r="C739" s="221"/>
      <c r="D739" s="88"/>
      <c r="E739" s="100"/>
      <c r="F739" s="95"/>
      <c r="G739" s="114"/>
      <c r="H739" s="96"/>
      <c r="I739" s="97"/>
      <c r="J739" s="98"/>
      <c r="K739" s="101"/>
      <c r="L739" s="124"/>
      <c r="M739" s="333"/>
      <c r="N739" s="341"/>
      <c r="O739" s="82"/>
      <c r="P739" s="93"/>
      <c r="Q739" s="82"/>
      <c r="R739" s="93"/>
      <c r="S739" s="298"/>
      <c r="T739" s="304"/>
      <c r="U739" s="307"/>
      <c r="V739" s="309"/>
      <c r="W739" s="248"/>
      <c r="X739" s="342"/>
      <c r="Y739" s="336"/>
      <c r="Z739" s="123"/>
      <c r="AA739" s="33"/>
      <c r="AB739" s="123"/>
      <c r="AC739" s="33"/>
      <c r="AD739" s="123"/>
      <c r="AE739" s="33"/>
      <c r="AF739" s="123"/>
      <c r="AG739" s="243"/>
      <c r="AH739" s="33"/>
      <c r="AI739" s="245"/>
      <c r="AJ739" s="125"/>
      <c r="AK739" s="91"/>
      <c r="AL739" s="126"/>
      <c r="AM739" s="91"/>
      <c r="AN739" s="91"/>
      <c r="AO739" s="197">
        <f t="shared" si="47"/>
        <v>0</v>
      </c>
      <c r="AP739" s="126"/>
      <c r="AQ739" s="216"/>
      <c r="AR739" s="127"/>
      <c r="AS739" s="269"/>
      <c r="AT739" s="94"/>
      <c r="AU739" s="84"/>
      <c r="AV739" s="80"/>
      <c r="AW739" s="81"/>
      <c r="AX739" s="77"/>
      <c r="AY739" s="107"/>
      <c r="AZ739" s="220">
        <f t="shared" si="44"/>
        <v>0</v>
      </c>
      <c r="BA739" s="220">
        <f t="shared" si="45"/>
        <v>0</v>
      </c>
    </row>
    <row r="740" spans="1:53" ht="50.1" customHeight="1" x14ac:dyDescent="0.25">
      <c r="A740" s="17">
        <f t="shared" si="46"/>
        <v>726</v>
      </c>
      <c r="B740" s="229"/>
      <c r="C740" s="222"/>
      <c r="D740" s="112"/>
      <c r="E740" s="128"/>
      <c r="F740" s="129"/>
      <c r="G740" s="130"/>
      <c r="H740" s="131"/>
      <c r="I740" s="132"/>
      <c r="J740" s="108"/>
      <c r="K740" s="133"/>
      <c r="L740" s="134"/>
      <c r="M740" s="334"/>
      <c r="N740" s="343"/>
      <c r="O740" s="135"/>
      <c r="P740" s="82"/>
      <c r="Q740" s="135"/>
      <c r="R740" s="82"/>
      <c r="S740" s="299"/>
      <c r="T740" s="305"/>
      <c r="U740" s="298"/>
      <c r="V740" s="304"/>
      <c r="W740" s="249"/>
      <c r="X740" s="344"/>
      <c r="Y740" s="337"/>
      <c r="Z740" s="33"/>
      <c r="AA740" s="83"/>
      <c r="AB740" s="33"/>
      <c r="AC740" s="83"/>
      <c r="AD740" s="33"/>
      <c r="AE740" s="83"/>
      <c r="AF740" s="33"/>
      <c r="AG740" s="244"/>
      <c r="AH740" s="83"/>
      <c r="AI740" s="246"/>
      <c r="AJ740" s="102"/>
      <c r="AK740" s="92"/>
      <c r="AL740" s="91"/>
      <c r="AM740" s="92"/>
      <c r="AN740" s="351"/>
      <c r="AO740" s="197">
        <f t="shared" si="47"/>
        <v>0</v>
      </c>
      <c r="AP740" s="91"/>
      <c r="AQ740" s="217"/>
      <c r="AR740" s="103"/>
      <c r="AS740" s="264"/>
      <c r="AT740" s="94"/>
      <c r="AU740" s="84"/>
      <c r="AV740" s="136"/>
      <c r="AW740" s="77"/>
      <c r="AX740" s="137"/>
      <c r="AY740" s="138"/>
      <c r="AZ740" s="220">
        <f t="shared" si="44"/>
        <v>0</v>
      </c>
      <c r="BA740" s="220">
        <f t="shared" si="45"/>
        <v>0</v>
      </c>
    </row>
    <row r="741" spans="1:53" ht="50.1" customHeight="1" x14ac:dyDescent="0.25">
      <c r="A741" s="17">
        <f t="shared" si="46"/>
        <v>727</v>
      </c>
      <c r="B741" s="228"/>
      <c r="C741" s="221"/>
      <c r="D741" s="88"/>
      <c r="E741" s="100"/>
      <c r="F741" s="95"/>
      <c r="G741" s="114"/>
      <c r="H741" s="96"/>
      <c r="I741" s="97"/>
      <c r="J741" s="98"/>
      <c r="K741" s="101"/>
      <c r="L741" s="124"/>
      <c r="M741" s="333"/>
      <c r="N741" s="341"/>
      <c r="O741" s="82"/>
      <c r="P741" s="93"/>
      <c r="Q741" s="82"/>
      <c r="R741" s="93"/>
      <c r="S741" s="298"/>
      <c r="T741" s="304"/>
      <c r="U741" s="307"/>
      <c r="V741" s="309"/>
      <c r="W741" s="248"/>
      <c r="X741" s="342"/>
      <c r="Y741" s="336"/>
      <c r="Z741" s="123"/>
      <c r="AA741" s="33"/>
      <c r="AB741" s="123"/>
      <c r="AC741" s="33"/>
      <c r="AD741" s="123"/>
      <c r="AE741" s="33"/>
      <c r="AF741" s="123"/>
      <c r="AG741" s="243"/>
      <c r="AH741" s="33"/>
      <c r="AI741" s="245"/>
      <c r="AJ741" s="125"/>
      <c r="AK741" s="91"/>
      <c r="AL741" s="126"/>
      <c r="AM741" s="91"/>
      <c r="AN741" s="91"/>
      <c r="AO741" s="197">
        <f t="shared" si="47"/>
        <v>0</v>
      </c>
      <c r="AP741" s="126"/>
      <c r="AQ741" s="216"/>
      <c r="AR741" s="127"/>
      <c r="AS741" s="269"/>
      <c r="AT741" s="94"/>
      <c r="AU741" s="84"/>
      <c r="AV741" s="80"/>
      <c r="AW741" s="81"/>
      <c r="AX741" s="77"/>
      <c r="AY741" s="107"/>
      <c r="AZ741" s="220">
        <f t="shared" si="44"/>
        <v>0</v>
      </c>
      <c r="BA741" s="220">
        <f t="shared" si="45"/>
        <v>0</v>
      </c>
    </row>
    <row r="742" spans="1:53" ht="50.1" customHeight="1" x14ac:dyDescent="0.25">
      <c r="A742" s="17">
        <f t="shared" si="46"/>
        <v>728</v>
      </c>
      <c r="B742" s="229"/>
      <c r="C742" s="222"/>
      <c r="D742" s="112"/>
      <c r="E742" s="128"/>
      <c r="F742" s="129"/>
      <c r="G742" s="130"/>
      <c r="H742" s="131"/>
      <c r="I742" s="132"/>
      <c r="J742" s="108"/>
      <c r="K742" s="133"/>
      <c r="L742" s="134"/>
      <c r="M742" s="334"/>
      <c r="N742" s="343"/>
      <c r="O742" s="135"/>
      <c r="P742" s="82"/>
      <c r="Q742" s="135"/>
      <c r="R742" s="82"/>
      <c r="S742" s="299"/>
      <c r="T742" s="305"/>
      <c r="U742" s="298"/>
      <c r="V742" s="304"/>
      <c r="W742" s="249"/>
      <c r="X742" s="344"/>
      <c r="Y742" s="337"/>
      <c r="Z742" s="33"/>
      <c r="AA742" s="83"/>
      <c r="AB742" s="33"/>
      <c r="AC742" s="83"/>
      <c r="AD742" s="33"/>
      <c r="AE742" s="83"/>
      <c r="AF742" s="33"/>
      <c r="AG742" s="244"/>
      <c r="AH742" s="83"/>
      <c r="AI742" s="246"/>
      <c r="AJ742" s="102"/>
      <c r="AK742" s="92"/>
      <c r="AL742" s="91"/>
      <c r="AM742" s="92"/>
      <c r="AN742" s="351"/>
      <c r="AO742" s="197">
        <f t="shared" si="47"/>
        <v>0</v>
      </c>
      <c r="AP742" s="91"/>
      <c r="AQ742" s="217"/>
      <c r="AR742" s="103"/>
      <c r="AS742" s="264"/>
      <c r="AT742" s="94"/>
      <c r="AU742" s="84"/>
      <c r="AV742" s="136"/>
      <c r="AW742" s="77"/>
      <c r="AX742" s="137"/>
      <c r="AY742" s="138"/>
      <c r="AZ742" s="220">
        <f t="shared" si="44"/>
        <v>0</v>
      </c>
      <c r="BA742" s="220">
        <f t="shared" si="45"/>
        <v>0</v>
      </c>
    </row>
    <row r="743" spans="1:53" ht="50.1" customHeight="1" x14ac:dyDescent="0.25">
      <c r="A743" s="17">
        <f t="shared" si="46"/>
        <v>729</v>
      </c>
      <c r="B743" s="228"/>
      <c r="C743" s="221"/>
      <c r="D743" s="88"/>
      <c r="E743" s="100"/>
      <c r="F743" s="95"/>
      <c r="G743" s="114"/>
      <c r="H743" s="96"/>
      <c r="I743" s="97"/>
      <c r="J743" s="98"/>
      <c r="K743" s="101"/>
      <c r="L743" s="124"/>
      <c r="M743" s="333"/>
      <c r="N743" s="341"/>
      <c r="O743" s="82"/>
      <c r="P743" s="93"/>
      <c r="Q743" s="82"/>
      <c r="R743" s="93"/>
      <c r="S743" s="298"/>
      <c r="T743" s="304"/>
      <c r="U743" s="307"/>
      <c r="V743" s="309"/>
      <c r="W743" s="248"/>
      <c r="X743" s="342"/>
      <c r="Y743" s="336"/>
      <c r="Z743" s="123"/>
      <c r="AA743" s="33"/>
      <c r="AB743" s="123"/>
      <c r="AC743" s="33"/>
      <c r="AD743" s="123"/>
      <c r="AE743" s="33"/>
      <c r="AF743" s="123"/>
      <c r="AG743" s="243"/>
      <c r="AH743" s="33"/>
      <c r="AI743" s="245"/>
      <c r="AJ743" s="125"/>
      <c r="AK743" s="91"/>
      <c r="AL743" s="126"/>
      <c r="AM743" s="91"/>
      <c r="AN743" s="91"/>
      <c r="AO743" s="197">
        <f t="shared" si="47"/>
        <v>0</v>
      </c>
      <c r="AP743" s="126"/>
      <c r="AQ743" s="216"/>
      <c r="AR743" s="127"/>
      <c r="AS743" s="269"/>
      <c r="AT743" s="94"/>
      <c r="AU743" s="84"/>
      <c r="AV743" s="80"/>
      <c r="AW743" s="81"/>
      <c r="AX743" s="77"/>
      <c r="AY743" s="107"/>
      <c r="AZ743" s="220">
        <f t="shared" si="44"/>
        <v>0</v>
      </c>
      <c r="BA743" s="220">
        <f t="shared" si="45"/>
        <v>0</v>
      </c>
    </row>
    <row r="744" spans="1:53" ht="50.1" customHeight="1" x14ac:dyDescent="0.25">
      <c r="A744" s="17">
        <f t="shared" si="46"/>
        <v>730</v>
      </c>
      <c r="B744" s="229"/>
      <c r="C744" s="222"/>
      <c r="D744" s="112"/>
      <c r="E744" s="128"/>
      <c r="F744" s="129"/>
      <c r="G744" s="130"/>
      <c r="H744" s="131"/>
      <c r="I744" s="132"/>
      <c r="J744" s="108"/>
      <c r="K744" s="133"/>
      <c r="L744" s="134"/>
      <c r="M744" s="334"/>
      <c r="N744" s="343"/>
      <c r="O744" s="135"/>
      <c r="P744" s="82"/>
      <c r="Q744" s="135"/>
      <c r="R744" s="82"/>
      <c r="S744" s="299"/>
      <c r="T744" s="305"/>
      <c r="U744" s="298"/>
      <c r="V744" s="304"/>
      <c r="W744" s="249"/>
      <c r="X744" s="344"/>
      <c r="Y744" s="337"/>
      <c r="Z744" s="33"/>
      <c r="AA744" s="83"/>
      <c r="AB744" s="33"/>
      <c r="AC744" s="83"/>
      <c r="AD744" s="33"/>
      <c r="AE744" s="83"/>
      <c r="AF744" s="33"/>
      <c r="AG744" s="244"/>
      <c r="AH744" s="83"/>
      <c r="AI744" s="246"/>
      <c r="AJ744" s="102"/>
      <c r="AK744" s="92"/>
      <c r="AL744" s="91"/>
      <c r="AM744" s="92"/>
      <c r="AN744" s="351"/>
      <c r="AO744" s="197">
        <f t="shared" si="47"/>
        <v>0</v>
      </c>
      <c r="AP744" s="91"/>
      <c r="AQ744" s="217"/>
      <c r="AR744" s="103"/>
      <c r="AS744" s="264"/>
      <c r="AT744" s="94"/>
      <c r="AU744" s="84"/>
      <c r="AV744" s="136"/>
      <c r="AW744" s="77"/>
      <c r="AX744" s="137"/>
      <c r="AY744" s="138"/>
      <c r="AZ744" s="220">
        <f t="shared" si="44"/>
        <v>0</v>
      </c>
      <c r="BA744" s="220">
        <f t="shared" si="45"/>
        <v>0</v>
      </c>
    </row>
    <row r="745" spans="1:53" ht="50.1" customHeight="1" x14ac:dyDescent="0.25">
      <c r="A745" s="17">
        <f t="shared" si="46"/>
        <v>731</v>
      </c>
      <c r="B745" s="228"/>
      <c r="C745" s="221"/>
      <c r="D745" s="88"/>
      <c r="E745" s="100"/>
      <c r="F745" s="95"/>
      <c r="G745" s="114"/>
      <c r="H745" s="96"/>
      <c r="I745" s="97"/>
      <c r="J745" s="98"/>
      <c r="K745" s="101"/>
      <c r="L745" s="124"/>
      <c r="M745" s="333"/>
      <c r="N745" s="341"/>
      <c r="O745" s="82"/>
      <c r="P745" s="93"/>
      <c r="Q745" s="82"/>
      <c r="R745" s="93"/>
      <c r="S745" s="298"/>
      <c r="T745" s="304"/>
      <c r="U745" s="307"/>
      <c r="V745" s="309"/>
      <c r="W745" s="248"/>
      <c r="X745" s="342"/>
      <c r="Y745" s="336"/>
      <c r="Z745" s="123"/>
      <c r="AA745" s="33"/>
      <c r="AB745" s="123"/>
      <c r="AC745" s="33"/>
      <c r="AD745" s="123"/>
      <c r="AE745" s="33"/>
      <c r="AF745" s="123"/>
      <c r="AG745" s="243"/>
      <c r="AH745" s="33"/>
      <c r="AI745" s="245"/>
      <c r="AJ745" s="125"/>
      <c r="AK745" s="91"/>
      <c r="AL745" s="126"/>
      <c r="AM745" s="91"/>
      <c r="AN745" s="91"/>
      <c r="AO745" s="197">
        <f t="shared" si="47"/>
        <v>0</v>
      </c>
      <c r="AP745" s="126"/>
      <c r="AQ745" s="216"/>
      <c r="AR745" s="127"/>
      <c r="AS745" s="269"/>
      <c r="AT745" s="94"/>
      <c r="AU745" s="84"/>
      <c r="AV745" s="80"/>
      <c r="AW745" s="81"/>
      <c r="AX745" s="77"/>
      <c r="AY745" s="107"/>
      <c r="AZ745" s="220">
        <f t="shared" si="44"/>
        <v>0</v>
      </c>
      <c r="BA745" s="220">
        <f t="shared" si="45"/>
        <v>0</v>
      </c>
    </row>
    <row r="746" spans="1:53" ht="50.1" customHeight="1" x14ac:dyDescent="0.25">
      <c r="A746" s="17">
        <f t="shared" si="46"/>
        <v>732</v>
      </c>
      <c r="B746" s="229"/>
      <c r="C746" s="222"/>
      <c r="D746" s="112"/>
      <c r="E746" s="128"/>
      <c r="F746" s="129"/>
      <c r="G746" s="130"/>
      <c r="H746" s="131"/>
      <c r="I746" s="132"/>
      <c r="J746" s="108"/>
      <c r="K746" s="133"/>
      <c r="L746" s="134"/>
      <c r="M746" s="334"/>
      <c r="N746" s="343"/>
      <c r="O746" s="135"/>
      <c r="P746" s="82"/>
      <c r="Q746" s="135"/>
      <c r="R746" s="82"/>
      <c r="S746" s="299"/>
      <c r="T746" s="305"/>
      <c r="U746" s="298"/>
      <c r="V746" s="304"/>
      <c r="W746" s="249"/>
      <c r="X746" s="344"/>
      <c r="Y746" s="337"/>
      <c r="Z746" s="33"/>
      <c r="AA746" s="83"/>
      <c r="AB746" s="33"/>
      <c r="AC746" s="83"/>
      <c r="AD746" s="33"/>
      <c r="AE746" s="83"/>
      <c r="AF746" s="33"/>
      <c r="AG746" s="244"/>
      <c r="AH746" s="83"/>
      <c r="AI746" s="246"/>
      <c r="AJ746" s="102"/>
      <c r="AK746" s="92"/>
      <c r="AL746" s="91"/>
      <c r="AM746" s="92"/>
      <c r="AN746" s="351"/>
      <c r="AO746" s="197">
        <f t="shared" si="47"/>
        <v>0</v>
      </c>
      <c r="AP746" s="91"/>
      <c r="AQ746" s="217"/>
      <c r="AR746" s="103"/>
      <c r="AS746" s="264"/>
      <c r="AT746" s="94"/>
      <c r="AU746" s="84"/>
      <c r="AV746" s="136"/>
      <c r="AW746" s="77"/>
      <c r="AX746" s="137"/>
      <c r="AY746" s="138"/>
      <c r="AZ746" s="220">
        <f t="shared" si="44"/>
        <v>0</v>
      </c>
      <c r="BA746" s="220">
        <f t="shared" si="45"/>
        <v>0</v>
      </c>
    </row>
    <row r="747" spans="1:53" ht="50.1" customHeight="1" x14ac:dyDescent="0.25">
      <c r="A747" s="17">
        <f t="shared" si="46"/>
        <v>733</v>
      </c>
      <c r="B747" s="228"/>
      <c r="C747" s="221"/>
      <c r="D747" s="88"/>
      <c r="E747" s="100"/>
      <c r="F747" s="95"/>
      <c r="G747" s="114"/>
      <c r="H747" s="96"/>
      <c r="I747" s="97"/>
      <c r="J747" s="98"/>
      <c r="K747" s="101"/>
      <c r="L747" s="124"/>
      <c r="M747" s="333"/>
      <c r="N747" s="341"/>
      <c r="O747" s="82"/>
      <c r="P747" s="93"/>
      <c r="Q747" s="82"/>
      <c r="R747" s="93"/>
      <c r="S747" s="298"/>
      <c r="T747" s="304"/>
      <c r="U747" s="307"/>
      <c r="V747" s="309"/>
      <c r="W747" s="248"/>
      <c r="X747" s="342"/>
      <c r="Y747" s="336"/>
      <c r="Z747" s="123"/>
      <c r="AA747" s="33"/>
      <c r="AB747" s="123"/>
      <c r="AC747" s="33"/>
      <c r="AD747" s="123"/>
      <c r="AE747" s="33"/>
      <c r="AF747" s="123"/>
      <c r="AG747" s="243"/>
      <c r="AH747" s="33"/>
      <c r="AI747" s="245"/>
      <c r="AJ747" s="125"/>
      <c r="AK747" s="91"/>
      <c r="AL747" s="126"/>
      <c r="AM747" s="91"/>
      <c r="AN747" s="91"/>
      <c r="AO747" s="197">
        <f t="shared" si="47"/>
        <v>0</v>
      </c>
      <c r="AP747" s="126"/>
      <c r="AQ747" s="216"/>
      <c r="AR747" s="127"/>
      <c r="AS747" s="269"/>
      <c r="AT747" s="94"/>
      <c r="AU747" s="84"/>
      <c r="AV747" s="80"/>
      <c r="AW747" s="81"/>
      <c r="AX747" s="77"/>
      <c r="AY747" s="107"/>
      <c r="AZ747" s="220">
        <f t="shared" si="44"/>
        <v>0</v>
      </c>
      <c r="BA747" s="220">
        <f t="shared" si="45"/>
        <v>0</v>
      </c>
    </row>
    <row r="748" spans="1:53" ht="50.1" customHeight="1" x14ac:dyDescent="0.25">
      <c r="A748" s="17">
        <f t="shared" si="46"/>
        <v>734</v>
      </c>
      <c r="B748" s="229"/>
      <c r="C748" s="222"/>
      <c r="D748" s="112"/>
      <c r="E748" s="128"/>
      <c r="F748" s="129"/>
      <c r="G748" s="130"/>
      <c r="H748" s="131"/>
      <c r="I748" s="132"/>
      <c r="J748" s="108"/>
      <c r="K748" s="133"/>
      <c r="L748" s="134"/>
      <c r="M748" s="334"/>
      <c r="N748" s="343"/>
      <c r="O748" s="135"/>
      <c r="P748" s="82"/>
      <c r="Q748" s="135"/>
      <c r="R748" s="82"/>
      <c r="S748" s="299"/>
      <c r="T748" s="305"/>
      <c r="U748" s="298"/>
      <c r="V748" s="304"/>
      <c r="W748" s="249"/>
      <c r="X748" s="344"/>
      <c r="Y748" s="337"/>
      <c r="Z748" s="33"/>
      <c r="AA748" s="83"/>
      <c r="AB748" s="33"/>
      <c r="AC748" s="83"/>
      <c r="AD748" s="33"/>
      <c r="AE748" s="83"/>
      <c r="AF748" s="33"/>
      <c r="AG748" s="244"/>
      <c r="AH748" s="83"/>
      <c r="AI748" s="246"/>
      <c r="AJ748" s="102"/>
      <c r="AK748" s="92"/>
      <c r="AL748" s="91"/>
      <c r="AM748" s="92"/>
      <c r="AN748" s="351"/>
      <c r="AO748" s="197">
        <f t="shared" si="47"/>
        <v>0</v>
      </c>
      <c r="AP748" s="91"/>
      <c r="AQ748" s="217"/>
      <c r="AR748" s="103"/>
      <c r="AS748" s="264"/>
      <c r="AT748" s="94"/>
      <c r="AU748" s="84"/>
      <c r="AV748" s="136"/>
      <c r="AW748" s="77"/>
      <c r="AX748" s="137"/>
      <c r="AY748" s="138"/>
      <c r="AZ748" s="220">
        <f t="shared" si="44"/>
        <v>0</v>
      </c>
      <c r="BA748" s="220">
        <f t="shared" si="45"/>
        <v>0</v>
      </c>
    </row>
    <row r="749" spans="1:53" ht="50.1" customHeight="1" x14ac:dyDescent="0.25">
      <c r="A749" s="17">
        <f t="shared" si="46"/>
        <v>735</v>
      </c>
      <c r="B749" s="228"/>
      <c r="C749" s="221"/>
      <c r="D749" s="88"/>
      <c r="E749" s="100"/>
      <c r="F749" s="95"/>
      <c r="G749" s="114"/>
      <c r="H749" s="96"/>
      <c r="I749" s="97"/>
      <c r="J749" s="98"/>
      <c r="K749" s="101"/>
      <c r="L749" s="124"/>
      <c r="M749" s="333"/>
      <c r="N749" s="341"/>
      <c r="O749" s="82"/>
      <c r="P749" s="93"/>
      <c r="Q749" s="82"/>
      <c r="R749" s="93"/>
      <c r="S749" s="298"/>
      <c r="T749" s="304"/>
      <c r="U749" s="307"/>
      <c r="V749" s="309"/>
      <c r="W749" s="248"/>
      <c r="X749" s="342"/>
      <c r="Y749" s="336"/>
      <c r="Z749" s="123"/>
      <c r="AA749" s="33"/>
      <c r="AB749" s="123"/>
      <c r="AC749" s="33"/>
      <c r="AD749" s="123"/>
      <c r="AE749" s="33"/>
      <c r="AF749" s="123"/>
      <c r="AG749" s="243"/>
      <c r="AH749" s="33"/>
      <c r="AI749" s="245"/>
      <c r="AJ749" s="125"/>
      <c r="AK749" s="91"/>
      <c r="AL749" s="126"/>
      <c r="AM749" s="91"/>
      <c r="AN749" s="91"/>
      <c r="AO749" s="197">
        <f t="shared" si="47"/>
        <v>0</v>
      </c>
      <c r="AP749" s="126"/>
      <c r="AQ749" s="216"/>
      <c r="AR749" s="127"/>
      <c r="AS749" s="269"/>
      <c r="AT749" s="94"/>
      <c r="AU749" s="84"/>
      <c r="AV749" s="80"/>
      <c r="AW749" s="81"/>
      <c r="AX749" s="77"/>
      <c r="AY749" s="107"/>
      <c r="AZ749" s="220">
        <f t="shared" si="44"/>
        <v>0</v>
      </c>
      <c r="BA749" s="220">
        <f t="shared" si="45"/>
        <v>0</v>
      </c>
    </row>
    <row r="750" spans="1:53" ht="50.1" customHeight="1" x14ac:dyDescent="0.25">
      <c r="A750" s="17">
        <f t="shared" si="46"/>
        <v>736</v>
      </c>
      <c r="B750" s="229"/>
      <c r="C750" s="222"/>
      <c r="D750" s="112"/>
      <c r="E750" s="128"/>
      <c r="F750" s="129"/>
      <c r="G750" s="130"/>
      <c r="H750" s="131"/>
      <c r="I750" s="132"/>
      <c r="J750" s="108"/>
      <c r="K750" s="133"/>
      <c r="L750" s="134"/>
      <c r="M750" s="334"/>
      <c r="N750" s="343"/>
      <c r="O750" s="135"/>
      <c r="P750" s="82"/>
      <c r="Q750" s="135"/>
      <c r="R750" s="82"/>
      <c r="S750" s="299"/>
      <c r="T750" s="305"/>
      <c r="U750" s="298"/>
      <c r="V750" s="304"/>
      <c r="W750" s="249"/>
      <c r="X750" s="344"/>
      <c r="Y750" s="337"/>
      <c r="Z750" s="33"/>
      <c r="AA750" s="83"/>
      <c r="AB750" s="33"/>
      <c r="AC750" s="83"/>
      <c r="AD750" s="33"/>
      <c r="AE750" s="83"/>
      <c r="AF750" s="33"/>
      <c r="AG750" s="244"/>
      <c r="AH750" s="83"/>
      <c r="AI750" s="246"/>
      <c r="AJ750" s="102"/>
      <c r="AK750" s="92"/>
      <c r="AL750" s="91"/>
      <c r="AM750" s="92"/>
      <c r="AN750" s="351"/>
      <c r="AO750" s="197">
        <f t="shared" si="47"/>
        <v>0</v>
      </c>
      <c r="AP750" s="91"/>
      <c r="AQ750" s="217"/>
      <c r="AR750" s="103"/>
      <c r="AS750" s="264"/>
      <c r="AT750" s="94"/>
      <c r="AU750" s="84"/>
      <c r="AV750" s="136"/>
      <c r="AW750" s="77"/>
      <c r="AX750" s="137"/>
      <c r="AY750" s="138"/>
      <c r="AZ750" s="220">
        <f t="shared" si="44"/>
        <v>0</v>
      </c>
      <c r="BA750" s="220">
        <f t="shared" si="45"/>
        <v>0</v>
      </c>
    </row>
    <row r="751" spans="1:53" ht="50.1" customHeight="1" x14ac:dyDescent="0.25">
      <c r="A751" s="17">
        <f t="shared" si="46"/>
        <v>737</v>
      </c>
      <c r="B751" s="228"/>
      <c r="C751" s="221"/>
      <c r="D751" s="88"/>
      <c r="E751" s="100"/>
      <c r="F751" s="95"/>
      <c r="G751" s="114"/>
      <c r="H751" s="96"/>
      <c r="I751" s="97"/>
      <c r="J751" s="98"/>
      <c r="K751" s="101"/>
      <c r="L751" s="124"/>
      <c r="M751" s="333"/>
      <c r="N751" s="341"/>
      <c r="O751" s="82"/>
      <c r="P751" s="93"/>
      <c r="Q751" s="82"/>
      <c r="R751" s="93"/>
      <c r="S751" s="298"/>
      <c r="T751" s="304"/>
      <c r="U751" s="307"/>
      <c r="V751" s="309"/>
      <c r="W751" s="248"/>
      <c r="X751" s="342"/>
      <c r="Y751" s="336"/>
      <c r="Z751" s="123"/>
      <c r="AA751" s="33"/>
      <c r="AB751" s="123"/>
      <c r="AC751" s="33"/>
      <c r="AD751" s="123"/>
      <c r="AE751" s="33"/>
      <c r="AF751" s="123"/>
      <c r="AG751" s="243"/>
      <c r="AH751" s="33"/>
      <c r="AI751" s="245"/>
      <c r="AJ751" s="125"/>
      <c r="AK751" s="91"/>
      <c r="AL751" s="126"/>
      <c r="AM751" s="91"/>
      <c r="AN751" s="91"/>
      <c r="AO751" s="197">
        <f t="shared" si="47"/>
        <v>0</v>
      </c>
      <c r="AP751" s="126"/>
      <c r="AQ751" s="216"/>
      <c r="AR751" s="127"/>
      <c r="AS751" s="269"/>
      <c r="AT751" s="94"/>
      <c r="AU751" s="84"/>
      <c r="AV751" s="80"/>
      <c r="AW751" s="81"/>
      <c r="AX751" s="77"/>
      <c r="AY751" s="107"/>
      <c r="AZ751" s="220">
        <f t="shared" si="44"/>
        <v>0</v>
      </c>
      <c r="BA751" s="220">
        <f t="shared" si="45"/>
        <v>0</v>
      </c>
    </row>
    <row r="752" spans="1:53" ht="50.1" customHeight="1" x14ac:dyDescent="0.25">
      <c r="A752" s="17">
        <f t="shared" si="46"/>
        <v>738</v>
      </c>
      <c r="B752" s="229"/>
      <c r="C752" s="222"/>
      <c r="D752" s="112"/>
      <c r="E752" s="128"/>
      <c r="F752" s="129"/>
      <c r="G752" s="130"/>
      <c r="H752" s="131"/>
      <c r="I752" s="132"/>
      <c r="J752" s="108"/>
      <c r="K752" s="133"/>
      <c r="L752" s="134"/>
      <c r="M752" s="334"/>
      <c r="N752" s="343"/>
      <c r="O752" s="135"/>
      <c r="P752" s="82"/>
      <c r="Q752" s="135"/>
      <c r="R752" s="82"/>
      <c r="S752" s="299"/>
      <c r="T752" s="305"/>
      <c r="U752" s="298"/>
      <c r="V752" s="304"/>
      <c r="W752" s="249"/>
      <c r="X752" s="344"/>
      <c r="Y752" s="337"/>
      <c r="Z752" s="33"/>
      <c r="AA752" s="83"/>
      <c r="AB752" s="33"/>
      <c r="AC752" s="83"/>
      <c r="AD752" s="33"/>
      <c r="AE752" s="83"/>
      <c r="AF752" s="33"/>
      <c r="AG752" s="244"/>
      <c r="AH752" s="83"/>
      <c r="AI752" s="246"/>
      <c r="AJ752" s="102"/>
      <c r="AK752" s="92"/>
      <c r="AL752" s="91"/>
      <c r="AM752" s="92"/>
      <c r="AN752" s="351"/>
      <c r="AO752" s="197">
        <f t="shared" si="47"/>
        <v>0</v>
      </c>
      <c r="AP752" s="91"/>
      <c r="AQ752" s="217"/>
      <c r="AR752" s="103"/>
      <c r="AS752" s="264"/>
      <c r="AT752" s="94"/>
      <c r="AU752" s="84"/>
      <c r="AV752" s="136"/>
      <c r="AW752" s="77"/>
      <c r="AX752" s="137"/>
      <c r="AY752" s="138"/>
      <c r="AZ752" s="220">
        <f t="shared" si="44"/>
        <v>0</v>
      </c>
      <c r="BA752" s="220">
        <f t="shared" si="45"/>
        <v>0</v>
      </c>
    </row>
    <row r="753" spans="1:53" ht="50.1" customHeight="1" x14ac:dyDescent="0.25">
      <c r="A753" s="17">
        <f t="shared" si="46"/>
        <v>739</v>
      </c>
      <c r="B753" s="228"/>
      <c r="C753" s="221"/>
      <c r="D753" s="88"/>
      <c r="E753" s="100"/>
      <c r="F753" s="95"/>
      <c r="G753" s="114"/>
      <c r="H753" s="96"/>
      <c r="I753" s="97"/>
      <c r="J753" s="98"/>
      <c r="K753" s="101"/>
      <c r="L753" s="124"/>
      <c r="M753" s="333"/>
      <c r="N753" s="341"/>
      <c r="O753" s="82"/>
      <c r="P753" s="93"/>
      <c r="Q753" s="82"/>
      <c r="R753" s="93"/>
      <c r="S753" s="298"/>
      <c r="T753" s="304"/>
      <c r="U753" s="307"/>
      <c r="V753" s="309"/>
      <c r="W753" s="248"/>
      <c r="X753" s="342"/>
      <c r="Y753" s="336"/>
      <c r="Z753" s="123"/>
      <c r="AA753" s="33"/>
      <c r="AB753" s="123"/>
      <c r="AC753" s="33"/>
      <c r="AD753" s="123"/>
      <c r="AE753" s="33"/>
      <c r="AF753" s="123"/>
      <c r="AG753" s="243"/>
      <c r="AH753" s="33"/>
      <c r="AI753" s="245"/>
      <c r="AJ753" s="125"/>
      <c r="AK753" s="91"/>
      <c r="AL753" s="126"/>
      <c r="AM753" s="91"/>
      <c r="AN753" s="91"/>
      <c r="AO753" s="197">
        <f t="shared" si="47"/>
        <v>0</v>
      </c>
      <c r="AP753" s="126"/>
      <c r="AQ753" s="216"/>
      <c r="AR753" s="127"/>
      <c r="AS753" s="269"/>
      <c r="AT753" s="94"/>
      <c r="AU753" s="84"/>
      <c r="AV753" s="80"/>
      <c r="AW753" s="81"/>
      <c r="AX753" s="77"/>
      <c r="AY753" s="107"/>
      <c r="AZ753" s="220">
        <f t="shared" si="44"/>
        <v>0</v>
      </c>
      <c r="BA753" s="220">
        <f t="shared" si="45"/>
        <v>0</v>
      </c>
    </row>
    <row r="754" spans="1:53" ht="50.1" customHeight="1" x14ac:dyDescent="0.25">
      <c r="A754" s="17">
        <f t="shared" si="46"/>
        <v>740</v>
      </c>
      <c r="B754" s="229"/>
      <c r="C754" s="222"/>
      <c r="D754" s="112"/>
      <c r="E754" s="128"/>
      <c r="F754" s="129"/>
      <c r="G754" s="130"/>
      <c r="H754" s="131"/>
      <c r="I754" s="132"/>
      <c r="J754" s="108"/>
      <c r="K754" s="133"/>
      <c r="L754" s="134"/>
      <c r="M754" s="334"/>
      <c r="N754" s="343"/>
      <c r="O754" s="135"/>
      <c r="P754" s="82"/>
      <c r="Q754" s="135"/>
      <c r="R754" s="82"/>
      <c r="S754" s="299"/>
      <c r="T754" s="305"/>
      <c r="U754" s="298"/>
      <c r="V754" s="304"/>
      <c r="W754" s="249"/>
      <c r="X754" s="344"/>
      <c r="Y754" s="337"/>
      <c r="Z754" s="33"/>
      <c r="AA754" s="83"/>
      <c r="AB754" s="33"/>
      <c r="AC754" s="83"/>
      <c r="AD754" s="33"/>
      <c r="AE754" s="83"/>
      <c r="AF754" s="33"/>
      <c r="AG754" s="244"/>
      <c r="AH754" s="83"/>
      <c r="AI754" s="246"/>
      <c r="AJ754" s="102"/>
      <c r="AK754" s="92"/>
      <c r="AL754" s="91"/>
      <c r="AM754" s="92"/>
      <c r="AN754" s="351"/>
      <c r="AO754" s="197">
        <f t="shared" si="47"/>
        <v>0</v>
      </c>
      <c r="AP754" s="91"/>
      <c r="AQ754" s="217"/>
      <c r="AR754" s="103"/>
      <c r="AS754" s="264"/>
      <c r="AT754" s="94"/>
      <c r="AU754" s="84"/>
      <c r="AV754" s="136"/>
      <c r="AW754" s="77"/>
      <c r="AX754" s="137"/>
      <c r="AY754" s="138"/>
      <c r="AZ754" s="220">
        <f t="shared" si="44"/>
        <v>0</v>
      </c>
      <c r="BA754" s="220">
        <f t="shared" si="45"/>
        <v>0</v>
      </c>
    </row>
    <row r="755" spans="1:53" ht="50.1" customHeight="1" x14ac:dyDescent="0.25">
      <c r="A755" s="17">
        <f t="shared" si="46"/>
        <v>741</v>
      </c>
      <c r="B755" s="228"/>
      <c r="C755" s="221"/>
      <c r="D755" s="88"/>
      <c r="E755" s="100"/>
      <c r="F755" s="95"/>
      <c r="G755" s="114"/>
      <c r="H755" s="96"/>
      <c r="I755" s="97"/>
      <c r="J755" s="98"/>
      <c r="K755" s="101"/>
      <c r="L755" s="124"/>
      <c r="M755" s="333"/>
      <c r="N755" s="341"/>
      <c r="O755" s="82"/>
      <c r="P755" s="93"/>
      <c r="Q755" s="82"/>
      <c r="R755" s="93"/>
      <c r="S755" s="298"/>
      <c r="T755" s="304"/>
      <c r="U755" s="307"/>
      <c r="V755" s="309"/>
      <c r="W755" s="248"/>
      <c r="X755" s="342"/>
      <c r="Y755" s="336"/>
      <c r="Z755" s="123"/>
      <c r="AA755" s="33"/>
      <c r="AB755" s="123"/>
      <c r="AC755" s="33"/>
      <c r="AD755" s="123"/>
      <c r="AE755" s="33"/>
      <c r="AF755" s="123"/>
      <c r="AG755" s="243"/>
      <c r="AH755" s="33"/>
      <c r="AI755" s="245"/>
      <c r="AJ755" s="125"/>
      <c r="AK755" s="91"/>
      <c r="AL755" s="126"/>
      <c r="AM755" s="91"/>
      <c r="AN755" s="91"/>
      <c r="AO755" s="197">
        <f t="shared" si="47"/>
        <v>0</v>
      </c>
      <c r="AP755" s="126"/>
      <c r="AQ755" s="216"/>
      <c r="AR755" s="127"/>
      <c r="AS755" s="269"/>
      <c r="AT755" s="94"/>
      <c r="AU755" s="84"/>
      <c r="AV755" s="80"/>
      <c r="AW755" s="81"/>
      <c r="AX755" s="77"/>
      <c r="AY755" s="107"/>
      <c r="AZ755" s="220">
        <f t="shared" si="44"/>
        <v>0</v>
      </c>
      <c r="BA755" s="220">
        <f t="shared" si="45"/>
        <v>0</v>
      </c>
    </row>
    <row r="756" spans="1:53" ht="50.1" customHeight="1" x14ac:dyDescent="0.25">
      <c r="A756" s="17">
        <f t="shared" si="46"/>
        <v>742</v>
      </c>
      <c r="B756" s="229"/>
      <c r="C756" s="222"/>
      <c r="D756" s="112"/>
      <c r="E756" s="128"/>
      <c r="F756" s="129"/>
      <c r="G756" s="130"/>
      <c r="H756" s="131"/>
      <c r="I756" s="132"/>
      <c r="J756" s="108"/>
      <c r="K756" s="133"/>
      <c r="L756" s="134"/>
      <c r="M756" s="334"/>
      <c r="N756" s="343"/>
      <c r="O756" s="135"/>
      <c r="P756" s="82"/>
      <c r="Q756" s="135"/>
      <c r="R756" s="82"/>
      <c r="S756" s="299"/>
      <c r="T756" s="305"/>
      <c r="U756" s="298"/>
      <c r="V756" s="304"/>
      <c r="W756" s="249"/>
      <c r="X756" s="344"/>
      <c r="Y756" s="337"/>
      <c r="Z756" s="33"/>
      <c r="AA756" s="83"/>
      <c r="AB756" s="33"/>
      <c r="AC756" s="83"/>
      <c r="AD756" s="33"/>
      <c r="AE756" s="83"/>
      <c r="AF756" s="33"/>
      <c r="AG756" s="244"/>
      <c r="AH756" s="83"/>
      <c r="AI756" s="246"/>
      <c r="AJ756" s="102"/>
      <c r="AK756" s="92"/>
      <c r="AL756" s="91"/>
      <c r="AM756" s="92"/>
      <c r="AN756" s="351"/>
      <c r="AO756" s="197">
        <f t="shared" si="47"/>
        <v>0</v>
      </c>
      <c r="AP756" s="91"/>
      <c r="AQ756" s="217"/>
      <c r="AR756" s="103"/>
      <c r="AS756" s="264"/>
      <c r="AT756" s="94"/>
      <c r="AU756" s="84"/>
      <c r="AV756" s="136"/>
      <c r="AW756" s="77"/>
      <c r="AX756" s="137"/>
      <c r="AY756" s="138"/>
      <c r="AZ756" s="220">
        <f t="shared" si="44"/>
        <v>0</v>
      </c>
      <c r="BA756" s="220">
        <f t="shared" si="45"/>
        <v>0</v>
      </c>
    </row>
    <row r="757" spans="1:53" ht="50.1" customHeight="1" x14ac:dyDescent="0.25">
      <c r="A757" s="17">
        <f t="shared" si="46"/>
        <v>743</v>
      </c>
      <c r="B757" s="228"/>
      <c r="C757" s="221"/>
      <c r="D757" s="88"/>
      <c r="E757" s="100"/>
      <c r="F757" s="95"/>
      <c r="G757" s="114"/>
      <c r="H757" s="96"/>
      <c r="I757" s="97"/>
      <c r="J757" s="98"/>
      <c r="K757" s="101"/>
      <c r="L757" s="124"/>
      <c r="M757" s="333"/>
      <c r="N757" s="341"/>
      <c r="O757" s="82"/>
      <c r="P757" s="93"/>
      <c r="Q757" s="82"/>
      <c r="R757" s="93"/>
      <c r="S757" s="298"/>
      <c r="T757" s="304"/>
      <c r="U757" s="307"/>
      <c r="V757" s="309"/>
      <c r="W757" s="248"/>
      <c r="X757" s="342"/>
      <c r="Y757" s="336"/>
      <c r="Z757" s="123"/>
      <c r="AA757" s="33"/>
      <c r="AB757" s="123"/>
      <c r="AC757" s="33"/>
      <c r="AD757" s="123"/>
      <c r="AE757" s="33"/>
      <c r="AF757" s="123"/>
      <c r="AG757" s="243"/>
      <c r="AH757" s="33"/>
      <c r="AI757" s="245"/>
      <c r="AJ757" s="125"/>
      <c r="AK757" s="91"/>
      <c r="AL757" s="126"/>
      <c r="AM757" s="91"/>
      <c r="AN757" s="91"/>
      <c r="AO757" s="197">
        <f t="shared" si="47"/>
        <v>0</v>
      </c>
      <c r="AP757" s="126"/>
      <c r="AQ757" s="216"/>
      <c r="AR757" s="127"/>
      <c r="AS757" s="269"/>
      <c r="AT757" s="94"/>
      <c r="AU757" s="84"/>
      <c r="AV757" s="80"/>
      <c r="AW757" s="81"/>
      <c r="AX757" s="77"/>
      <c r="AY757" s="107"/>
      <c r="AZ757" s="220">
        <f t="shared" si="44"/>
        <v>0</v>
      </c>
      <c r="BA757" s="220">
        <f t="shared" si="45"/>
        <v>0</v>
      </c>
    </row>
    <row r="758" spans="1:53" ht="50.1" customHeight="1" x14ac:dyDescent="0.25">
      <c r="A758" s="17">
        <f t="shared" si="46"/>
        <v>744</v>
      </c>
      <c r="B758" s="229"/>
      <c r="C758" s="222"/>
      <c r="D758" s="112"/>
      <c r="E758" s="128"/>
      <c r="F758" s="129"/>
      <c r="G758" s="130"/>
      <c r="H758" s="131"/>
      <c r="I758" s="132"/>
      <c r="J758" s="108"/>
      <c r="K758" s="133"/>
      <c r="L758" s="134"/>
      <c r="M758" s="334"/>
      <c r="N758" s="343"/>
      <c r="O758" s="135"/>
      <c r="P758" s="82"/>
      <c r="Q758" s="135"/>
      <c r="R758" s="82"/>
      <c r="S758" s="299"/>
      <c r="T758" s="305"/>
      <c r="U758" s="298"/>
      <c r="V758" s="304"/>
      <c r="W758" s="249"/>
      <c r="X758" s="344"/>
      <c r="Y758" s="337"/>
      <c r="Z758" s="33"/>
      <c r="AA758" s="83"/>
      <c r="AB758" s="33"/>
      <c r="AC758" s="83"/>
      <c r="AD758" s="33"/>
      <c r="AE758" s="83"/>
      <c r="AF758" s="33"/>
      <c r="AG758" s="244"/>
      <c r="AH758" s="83"/>
      <c r="AI758" s="246"/>
      <c r="AJ758" s="102"/>
      <c r="AK758" s="92"/>
      <c r="AL758" s="91"/>
      <c r="AM758" s="92"/>
      <c r="AN758" s="351"/>
      <c r="AO758" s="197">
        <f t="shared" si="47"/>
        <v>0</v>
      </c>
      <c r="AP758" s="91"/>
      <c r="AQ758" s="217"/>
      <c r="AR758" s="103"/>
      <c r="AS758" s="264"/>
      <c r="AT758" s="94"/>
      <c r="AU758" s="84"/>
      <c r="AV758" s="136"/>
      <c r="AW758" s="77"/>
      <c r="AX758" s="137"/>
      <c r="AY758" s="138"/>
      <c r="AZ758" s="220">
        <f t="shared" si="44"/>
        <v>0</v>
      </c>
      <c r="BA758" s="220">
        <f t="shared" si="45"/>
        <v>0</v>
      </c>
    </row>
    <row r="759" spans="1:53" ht="50.1" customHeight="1" x14ac:dyDescent="0.25">
      <c r="A759" s="17">
        <f t="shared" si="46"/>
        <v>745</v>
      </c>
      <c r="B759" s="228"/>
      <c r="C759" s="221"/>
      <c r="D759" s="88"/>
      <c r="E759" s="100"/>
      <c r="F759" s="95"/>
      <c r="G759" s="114"/>
      <c r="H759" s="96"/>
      <c r="I759" s="97"/>
      <c r="J759" s="98"/>
      <c r="K759" s="101"/>
      <c r="L759" s="124"/>
      <c r="M759" s="333"/>
      <c r="N759" s="341"/>
      <c r="O759" s="82"/>
      <c r="P759" s="93"/>
      <c r="Q759" s="82"/>
      <c r="R759" s="93"/>
      <c r="S759" s="298"/>
      <c r="T759" s="304"/>
      <c r="U759" s="307"/>
      <c r="V759" s="309"/>
      <c r="W759" s="248"/>
      <c r="X759" s="342"/>
      <c r="Y759" s="336"/>
      <c r="Z759" s="123"/>
      <c r="AA759" s="33"/>
      <c r="AB759" s="123"/>
      <c r="AC759" s="33"/>
      <c r="AD759" s="123"/>
      <c r="AE759" s="33"/>
      <c r="AF759" s="123"/>
      <c r="AG759" s="243"/>
      <c r="AH759" s="33"/>
      <c r="AI759" s="245"/>
      <c r="AJ759" s="125"/>
      <c r="AK759" s="91"/>
      <c r="AL759" s="126"/>
      <c r="AM759" s="91"/>
      <c r="AN759" s="91"/>
      <c r="AO759" s="197">
        <f t="shared" si="47"/>
        <v>0</v>
      </c>
      <c r="AP759" s="126"/>
      <c r="AQ759" s="216"/>
      <c r="AR759" s="127"/>
      <c r="AS759" s="269"/>
      <c r="AT759" s="94"/>
      <c r="AU759" s="84"/>
      <c r="AV759" s="80"/>
      <c r="AW759" s="81"/>
      <c r="AX759" s="77"/>
      <c r="AY759" s="107"/>
      <c r="AZ759" s="220">
        <f t="shared" si="44"/>
        <v>0</v>
      </c>
      <c r="BA759" s="220">
        <f t="shared" si="45"/>
        <v>0</v>
      </c>
    </row>
    <row r="760" spans="1:53" ht="50.1" customHeight="1" x14ac:dyDescent="0.25">
      <c r="A760" s="17">
        <f t="shared" si="46"/>
        <v>746</v>
      </c>
      <c r="B760" s="229"/>
      <c r="C760" s="222"/>
      <c r="D760" s="112"/>
      <c r="E760" s="128"/>
      <c r="F760" s="129"/>
      <c r="G760" s="130"/>
      <c r="H760" s="131"/>
      <c r="I760" s="132"/>
      <c r="J760" s="108"/>
      <c r="K760" s="133"/>
      <c r="L760" s="134"/>
      <c r="M760" s="334"/>
      <c r="N760" s="343"/>
      <c r="O760" s="135"/>
      <c r="P760" s="82"/>
      <c r="Q760" s="135"/>
      <c r="R760" s="82"/>
      <c r="S760" s="299"/>
      <c r="T760" s="305"/>
      <c r="U760" s="298"/>
      <c r="V760" s="304"/>
      <c r="W760" s="249"/>
      <c r="X760" s="344"/>
      <c r="Y760" s="337"/>
      <c r="Z760" s="33"/>
      <c r="AA760" s="83"/>
      <c r="AB760" s="33"/>
      <c r="AC760" s="83"/>
      <c r="AD760" s="33"/>
      <c r="AE760" s="83"/>
      <c r="AF760" s="33"/>
      <c r="AG760" s="244"/>
      <c r="AH760" s="83"/>
      <c r="AI760" s="246"/>
      <c r="AJ760" s="102"/>
      <c r="AK760" s="92"/>
      <c r="AL760" s="91"/>
      <c r="AM760" s="92"/>
      <c r="AN760" s="351"/>
      <c r="AO760" s="197">
        <f t="shared" si="47"/>
        <v>0</v>
      </c>
      <c r="AP760" s="91"/>
      <c r="AQ760" s="217"/>
      <c r="AR760" s="103"/>
      <c r="AS760" s="264"/>
      <c r="AT760" s="94"/>
      <c r="AU760" s="84"/>
      <c r="AV760" s="136"/>
      <c r="AW760" s="77"/>
      <c r="AX760" s="137"/>
      <c r="AY760" s="138"/>
      <c r="AZ760" s="220">
        <f t="shared" si="44"/>
        <v>0</v>
      </c>
      <c r="BA760" s="220">
        <f t="shared" si="45"/>
        <v>0</v>
      </c>
    </row>
    <row r="761" spans="1:53" ht="50.1" customHeight="1" x14ac:dyDescent="0.25">
      <c r="A761" s="17">
        <f t="shared" si="46"/>
        <v>747</v>
      </c>
      <c r="B761" s="228"/>
      <c r="C761" s="221"/>
      <c r="D761" s="88"/>
      <c r="E761" s="100"/>
      <c r="F761" s="95"/>
      <c r="G761" s="114"/>
      <c r="H761" s="96"/>
      <c r="I761" s="97"/>
      <c r="J761" s="98"/>
      <c r="K761" s="101"/>
      <c r="L761" s="124"/>
      <c r="M761" s="333"/>
      <c r="N761" s="341"/>
      <c r="O761" s="82"/>
      <c r="P761" s="93"/>
      <c r="Q761" s="82"/>
      <c r="R761" s="93"/>
      <c r="S761" s="298"/>
      <c r="T761" s="304"/>
      <c r="U761" s="307"/>
      <c r="V761" s="309"/>
      <c r="W761" s="248"/>
      <c r="X761" s="342"/>
      <c r="Y761" s="336"/>
      <c r="Z761" s="123"/>
      <c r="AA761" s="33"/>
      <c r="AB761" s="123"/>
      <c r="AC761" s="33"/>
      <c r="AD761" s="123"/>
      <c r="AE761" s="33"/>
      <c r="AF761" s="123"/>
      <c r="AG761" s="243"/>
      <c r="AH761" s="33"/>
      <c r="AI761" s="245"/>
      <c r="AJ761" s="125"/>
      <c r="AK761" s="91"/>
      <c r="AL761" s="126"/>
      <c r="AM761" s="91"/>
      <c r="AN761" s="91"/>
      <c r="AO761" s="197">
        <f t="shared" si="47"/>
        <v>0</v>
      </c>
      <c r="AP761" s="126"/>
      <c r="AQ761" s="216"/>
      <c r="AR761" s="127"/>
      <c r="AS761" s="269"/>
      <c r="AT761" s="94"/>
      <c r="AU761" s="84"/>
      <c r="AV761" s="80"/>
      <c r="AW761" s="81"/>
      <c r="AX761" s="77"/>
      <c r="AY761" s="107"/>
      <c r="AZ761" s="220">
        <f t="shared" si="44"/>
        <v>0</v>
      </c>
      <c r="BA761" s="220">
        <f t="shared" si="45"/>
        <v>0</v>
      </c>
    </row>
    <row r="762" spans="1:53" ht="50.1" customHeight="1" x14ac:dyDescent="0.25">
      <c r="A762" s="17">
        <f t="shared" si="46"/>
        <v>748</v>
      </c>
      <c r="B762" s="229"/>
      <c r="C762" s="222"/>
      <c r="D762" s="112"/>
      <c r="E762" s="128"/>
      <c r="F762" s="129"/>
      <c r="G762" s="130"/>
      <c r="H762" s="131"/>
      <c r="I762" s="132"/>
      <c r="J762" s="108"/>
      <c r="K762" s="133"/>
      <c r="L762" s="134"/>
      <c r="M762" s="334"/>
      <c r="N762" s="343"/>
      <c r="O762" s="135"/>
      <c r="P762" s="82"/>
      <c r="Q762" s="135"/>
      <c r="R762" s="82"/>
      <c r="S762" s="299"/>
      <c r="T762" s="305"/>
      <c r="U762" s="298"/>
      <c r="V762" s="304"/>
      <c r="W762" s="249"/>
      <c r="X762" s="344"/>
      <c r="Y762" s="337"/>
      <c r="Z762" s="33"/>
      <c r="AA762" s="83"/>
      <c r="AB762" s="33"/>
      <c r="AC762" s="83"/>
      <c r="AD762" s="33"/>
      <c r="AE762" s="83"/>
      <c r="AF762" s="33"/>
      <c r="AG762" s="244"/>
      <c r="AH762" s="83"/>
      <c r="AI762" s="246"/>
      <c r="AJ762" s="102"/>
      <c r="AK762" s="92"/>
      <c r="AL762" s="91"/>
      <c r="AM762" s="92"/>
      <c r="AN762" s="351"/>
      <c r="AO762" s="197">
        <f t="shared" si="47"/>
        <v>0</v>
      </c>
      <c r="AP762" s="91"/>
      <c r="AQ762" s="217"/>
      <c r="AR762" s="103"/>
      <c r="AS762" s="264"/>
      <c r="AT762" s="94"/>
      <c r="AU762" s="84"/>
      <c r="AV762" s="136"/>
      <c r="AW762" s="77"/>
      <c r="AX762" s="137"/>
      <c r="AY762" s="138"/>
      <c r="AZ762" s="220">
        <f t="shared" si="44"/>
        <v>0</v>
      </c>
      <c r="BA762" s="220">
        <f t="shared" si="45"/>
        <v>0</v>
      </c>
    </row>
    <row r="763" spans="1:53" ht="50.1" customHeight="1" x14ac:dyDescent="0.25">
      <c r="A763" s="17">
        <f t="shared" si="46"/>
        <v>749</v>
      </c>
      <c r="B763" s="228"/>
      <c r="C763" s="221"/>
      <c r="D763" s="88"/>
      <c r="E763" s="100"/>
      <c r="F763" s="95"/>
      <c r="G763" s="114"/>
      <c r="H763" s="96"/>
      <c r="I763" s="97"/>
      <c r="J763" s="98"/>
      <c r="K763" s="101"/>
      <c r="L763" s="124"/>
      <c r="M763" s="333"/>
      <c r="N763" s="341"/>
      <c r="O763" s="82"/>
      <c r="P763" s="93"/>
      <c r="Q763" s="82"/>
      <c r="R763" s="93"/>
      <c r="S763" s="298"/>
      <c r="T763" s="304"/>
      <c r="U763" s="307"/>
      <c r="V763" s="309"/>
      <c r="W763" s="248"/>
      <c r="X763" s="342"/>
      <c r="Y763" s="336"/>
      <c r="Z763" s="123"/>
      <c r="AA763" s="33"/>
      <c r="AB763" s="123"/>
      <c r="AC763" s="33"/>
      <c r="AD763" s="123"/>
      <c r="AE763" s="33"/>
      <c r="AF763" s="123"/>
      <c r="AG763" s="243"/>
      <c r="AH763" s="33"/>
      <c r="AI763" s="245"/>
      <c r="AJ763" s="125"/>
      <c r="AK763" s="91"/>
      <c r="AL763" s="126"/>
      <c r="AM763" s="91"/>
      <c r="AN763" s="91"/>
      <c r="AO763" s="197">
        <f t="shared" si="47"/>
        <v>0</v>
      </c>
      <c r="AP763" s="126"/>
      <c r="AQ763" s="216"/>
      <c r="AR763" s="127"/>
      <c r="AS763" s="269"/>
      <c r="AT763" s="94"/>
      <c r="AU763" s="84"/>
      <c r="AV763" s="80"/>
      <c r="AW763" s="81"/>
      <c r="AX763" s="77"/>
      <c r="AY763" s="107"/>
      <c r="AZ763" s="220">
        <f t="shared" si="44"/>
        <v>0</v>
      </c>
      <c r="BA763" s="220">
        <f t="shared" si="45"/>
        <v>0</v>
      </c>
    </row>
    <row r="764" spans="1:53" ht="50.1" customHeight="1" x14ac:dyDescent="0.25">
      <c r="A764" s="17">
        <f t="shared" si="46"/>
        <v>750</v>
      </c>
      <c r="B764" s="229"/>
      <c r="C764" s="222"/>
      <c r="D764" s="112"/>
      <c r="E764" s="128"/>
      <c r="F764" s="129"/>
      <c r="G764" s="130"/>
      <c r="H764" s="131"/>
      <c r="I764" s="132"/>
      <c r="J764" s="108"/>
      <c r="K764" s="133"/>
      <c r="L764" s="134"/>
      <c r="M764" s="334"/>
      <c r="N764" s="343"/>
      <c r="O764" s="135"/>
      <c r="P764" s="82"/>
      <c r="Q764" s="135"/>
      <c r="R764" s="82"/>
      <c r="S764" s="299"/>
      <c r="T764" s="305"/>
      <c r="U764" s="298"/>
      <c r="V764" s="304"/>
      <c r="W764" s="249"/>
      <c r="X764" s="344"/>
      <c r="Y764" s="337"/>
      <c r="Z764" s="33"/>
      <c r="AA764" s="83"/>
      <c r="AB764" s="33"/>
      <c r="AC764" s="83"/>
      <c r="AD764" s="33"/>
      <c r="AE764" s="83"/>
      <c r="AF764" s="33"/>
      <c r="AG764" s="244"/>
      <c r="AH764" s="83"/>
      <c r="AI764" s="246"/>
      <c r="AJ764" s="102"/>
      <c r="AK764" s="92"/>
      <c r="AL764" s="91"/>
      <c r="AM764" s="92"/>
      <c r="AN764" s="351"/>
      <c r="AO764" s="197">
        <f t="shared" si="47"/>
        <v>0</v>
      </c>
      <c r="AP764" s="91"/>
      <c r="AQ764" s="217"/>
      <c r="AR764" s="103"/>
      <c r="AS764" s="264"/>
      <c r="AT764" s="94"/>
      <c r="AU764" s="84"/>
      <c r="AV764" s="136"/>
      <c r="AW764" s="77"/>
      <c r="AX764" s="137"/>
      <c r="AY764" s="138"/>
      <c r="AZ764" s="220">
        <f t="shared" si="44"/>
        <v>0</v>
      </c>
      <c r="BA764" s="220">
        <f t="shared" si="45"/>
        <v>0</v>
      </c>
    </row>
    <row r="765" spans="1:53" ht="50.1" customHeight="1" x14ac:dyDescent="0.25">
      <c r="A765" s="17">
        <f t="shared" si="46"/>
        <v>751</v>
      </c>
      <c r="B765" s="228"/>
      <c r="C765" s="221"/>
      <c r="D765" s="88"/>
      <c r="E765" s="100"/>
      <c r="F765" s="95"/>
      <c r="G765" s="114"/>
      <c r="H765" s="96"/>
      <c r="I765" s="97"/>
      <c r="J765" s="98"/>
      <c r="K765" s="101"/>
      <c r="L765" s="124"/>
      <c r="M765" s="333"/>
      <c r="N765" s="341"/>
      <c r="O765" s="82"/>
      <c r="P765" s="93"/>
      <c r="Q765" s="82"/>
      <c r="R765" s="93"/>
      <c r="S765" s="298"/>
      <c r="T765" s="304"/>
      <c r="U765" s="307"/>
      <c r="V765" s="309"/>
      <c r="W765" s="248"/>
      <c r="X765" s="342"/>
      <c r="Y765" s="336"/>
      <c r="Z765" s="123"/>
      <c r="AA765" s="33"/>
      <c r="AB765" s="123"/>
      <c r="AC765" s="33"/>
      <c r="AD765" s="123"/>
      <c r="AE765" s="33"/>
      <c r="AF765" s="123"/>
      <c r="AG765" s="243"/>
      <c r="AH765" s="33"/>
      <c r="AI765" s="245"/>
      <c r="AJ765" s="125"/>
      <c r="AK765" s="91"/>
      <c r="AL765" s="126"/>
      <c r="AM765" s="91"/>
      <c r="AN765" s="91"/>
      <c r="AO765" s="197">
        <f t="shared" si="47"/>
        <v>0</v>
      </c>
      <c r="AP765" s="126"/>
      <c r="AQ765" s="216"/>
      <c r="AR765" s="127"/>
      <c r="AS765" s="269"/>
      <c r="AT765" s="94"/>
      <c r="AU765" s="84"/>
      <c r="AV765" s="80"/>
      <c r="AW765" s="81"/>
      <c r="AX765" s="77"/>
      <c r="AY765" s="107"/>
      <c r="AZ765" s="220">
        <f t="shared" si="44"/>
        <v>0</v>
      </c>
      <c r="BA765" s="220">
        <f t="shared" si="45"/>
        <v>0</v>
      </c>
    </row>
    <row r="766" spans="1:53" ht="50.1" customHeight="1" x14ac:dyDescent="0.25">
      <c r="A766" s="17">
        <f t="shared" si="46"/>
        <v>752</v>
      </c>
      <c r="B766" s="229"/>
      <c r="C766" s="222"/>
      <c r="D766" s="112"/>
      <c r="E766" s="128"/>
      <c r="F766" s="129"/>
      <c r="G766" s="130"/>
      <c r="H766" s="131"/>
      <c r="I766" s="132"/>
      <c r="J766" s="108"/>
      <c r="K766" s="133"/>
      <c r="L766" s="134"/>
      <c r="M766" s="334"/>
      <c r="N766" s="343"/>
      <c r="O766" s="135"/>
      <c r="P766" s="82"/>
      <c r="Q766" s="135"/>
      <c r="R766" s="82"/>
      <c r="S766" s="299"/>
      <c r="T766" s="305"/>
      <c r="U766" s="298"/>
      <c r="V766" s="304"/>
      <c r="W766" s="249"/>
      <c r="X766" s="344"/>
      <c r="Y766" s="337"/>
      <c r="Z766" s="33"/>
      <c r="AA766" s="83"/>
      <c r="AB766" s="33"/>
      <c r="AC766" s="83"/>
      <c r="AD766" s="33"/>
      <c r="AE766" s="83"/>
      <c r="AF766" s="33"/>
      <c r="AG766" s="244"/>
      <c r="AH766" s="83"/>
      <c r="AI766" s="246"/>
      <c r="AJ766" s="102"/>
      <c r="AK766" s="92"/>
      <c r="AL766" s="91"/>
      <c r="AM766" s="92"/>
      <c r="AN766" s="351"/>
      <c r="AO766" s="197">
        <f t="shared" si="47"/>
        <v>0</v>
      </c>
      <c r="AP766" s="91"/>
      <c r="AQ766" s="217"/>
      <c r="AR766" s="103"/>
      <c r="AS766" s="264"/>
      <c r="AT766" s="94"/>
      <c r="AU766" s="84"/>
      <c r="AV766" s="136"/>
      <c r="AW766" s="77"/>
      <c r="AX766" s="137"/>
      <c r="AY766" s="138"/>
      <c r="AZ766" s="220">
        <f t="shared" si="44"/>
        <v>0</v>
      </c>
      <c r="BA766" s="220">
        <f t="shared" si="45"/>
        <v>0</v>
      </c>
    </row>
    <row r="767" spans="1:53" ht="50.1" customHeight="1" x14ac:dyDescent="0.25">
      <c r="A767" s="17">
        <f t="shared" si="46"/>
        <v>753</v>
      </c>
      <c r="B767" s="228"/>
      <c r="C767" s="221"/>
      <c r="D767" s="88"/>
      <c r="E767" s="100"/>
      <c r="F767" s="95"/>
      <c r="G767" s="114"/>
      <c r="H767" s="96"/>
      <c r="I767" s="97"/>
      <c r="J767" s="98"/>
      <c r="K767" s="101"/>
      <c r="L767" s="124"/>
      <c r="M767" s="333"/>
      <c r="N767" s="341"/>
      <c r="O767" s="82"/>
      <c r="P767" s="93"/>
      <c r="Q767" s="82"/>
      <c r="R767" s="93"/>
      <c r="S767" s="298"/>
      <c r="T767" s="304"/>
      <c r="U767" s="307"/>
      <c r="V767" s="309"/>
      <c r="W767" s="248"/>
      <c r="X767" s="342"/>
      <c r="Y767" s="336"/>
      <c r="Z767" s="123"/>
      <c r="AA767" s="33"/>
      <c r="AB767" s="123"/>
      <c r="AC767" s="33"/>
      <c r="AD767" s="123"/>
      <c r="AE767" s="33"/>
      <c r="AF767" s="123"/>
      <c r="AG767" s="243"/>
      <c r="AH767" s="33"/>
      <c r="AI767" s="245"/>
      <c r="AJ767" s="125"/>
      <c r="AK767" s="91"/>
      <c r="AL767" s="126"/>
      <c r="AM767" s="91"/>
      <c r="AN767" s="91"/>
      <c r="AO767" s="197">
        <f t="shared" si="47"/>
        <v>0</v>
      </c>
      <c r="AP767" s="126"/>
      <c r="AQ767" s="216"/>
      <c r="AR767" s="127"/>
      <c r="AS767" s="269"/>
      <c r="AT767" s="94"/>
      <c r="AU767" s="84"/>
      <c r="AV767" s="80"/>
      <c r="AW767" s="81"/>
      <c r="AX767" s="77"/>
      <c r="AY767" s="107"/>
      <c r="AZ767" s="220">
        <f t="shared" si="44"/>
        <v>0</v>
      </c>
      <c r="BA767" s="220">
        <f t="shared" si="45"/>
        <v>0</v>
      </c>
    </row>
    <row r="768" spans="1:53" ht="50.1" customHeight="1" x14ac:dyDescent="0.25">
      <c r="A768" s="17">
        <f t="shared" si="46"/>
        <v>754</v>
      </c>
      <c r="B768" s="229"/>
      <c r="C768" s="222"/>
      <c r="D768" s="112"/>
      <c r="E768" s="128"/>
      <c r="F768" s="129"/>
      <c r="G768" s="130"/>
      <c r="H768" s="131"/>
      <c r="I768" s="132"/>
      <c r="J768" s="108"/>
      <c r="K768" s="133"/>
      <c r="L768" s="134"/>
      <c r="M768" s="334"/>
      <c r="N768" s="343"/>
      <c r="O768" s="135"/>
      <c r="P768" s="82"/>
      <c r="Q768" s="135"/>
      <c r="R768" s="82"/>
      <c r="S768" s="299"/>
      <c r="T768" s="305"/>
      <c r="U768" s="298"/>
      <c r="V768" s="304"/>
      <c r="W768" s="249"/>
      <c r="X768" s="344"/>
      <c r="Y768" s="337"/>
      <c r="Z768" s="33"/>
      <c r="AA768" s="83"/>
      <c r="AB768" s="33"/>
      <c r="AC768" s="83"/>
      <c r="AD768" s="33"/>
      <c r="AE768" s="83"/>
      <c r="AF768" s="33"/>
      <c r="AG768" s="244"/>
      <c r="AH768" s="83"/>
      <c r="AI768" s="246"/>
      <c r="AJ768" s="102"/>
      <c r="AK768" s="92"/>
      <c r="AL768" s="91"/>
      <c r="AM768" s="92"/>
      <c r="AN768" s="351"/>
      <c r="AO768" s="197">
        <f t="shared" si="47"/>
        <v>0</v>
      </c>
      <c r="AP768" s="91"/>
      <c r="AQ768" s="217"/>
      <c r="AR768" s="103"/>
      <c r="AS768" s="264"/>
      <c r="AT768" s="94"/>
      <c r="AU768" s="84"/>
      <c r="AV768" s="136"/>
      <c r="AW768" s="77"/>
      <c r="AX768" s="137"/>
      <c r="AY768" s="138"/>
      <c r="AZ768" s="220">
        <f t="shared" si="44"/>
        <v>0</v>
      </c>
      <c r="BA768" s="220">
        <f t="shared" si="45"/>
        <v>0</v>
      </c>
    </row>
    <row r="769" spans="1:53" ht="50.1" customHeight="1" x14ac:dyDescent="0.25">
      <c r="A769" s="17">
        <f t="shared" si="46"/>
        <v>755</v>
      </c>
      <c r="B769" s="228"/>
      <c r="C769" s="221"/>
      <c r="D769" s="88"/>
      <c r="E769" s="100"/>
      <c r="F769" s="95"/>
      <c r="G769" s="114"/>
      <c r="H769" s="96"/>
      <c r="I769" s="97"/>
      <c r="J769" s="98"/>
      <c r="K769" s="101"/>
      <c r="L769" s="124"/>
      <c r="M769" s="333"/>
      <c r="N769" s="341"/>
      <c r="O769" s="82"/>
      <c r="P769" s="93"/>
      <c r="Q769" s="82"/>
      <c r="R769" s="93"/>
      <c r="S769" s="298"/>
      <c r="T769" s="304"/>
      <c r="U769" s="307"/>
      <c r="V769" s="309"/>
      <c r="W769" s="248"/>
      <c r="X769" s="342"/>
      <c r="Y769" s="336"/>
      <c r="Z769" s="123"/>
      <c r="AA769" s="33"/>
      <c r="AB769" s="123"/>
      <c r="AC769" s="33"/>
      <c r="AD769" s="123"/>
      <c r="AE769" s="33"/>
      <c r="AF769" s="123"/>
      <c r="AG769" s="243"/>
      <c r="AH769" s="33"/>
      <c r="AI769" s="245"/>
      <c r="AJ769" s="125"/>
      <c r="AK769" s="91"/>
      <c r="AL769" s="126"/>
      <c r="AM769" s="91"/>
      <c r="AN769" s="91"/>
      <c r="AO769" s="197">
        <f t="shared" si="47"/>
        <v>0</v>
      </c>
      <c r="AP769" s="126"/>
      <c r="AQ769" s="216"/>
      <c r="AR769" s="127"/>
      <c r="AS769" s="269"/>
      <c r="AT769" s="94"/>
      <c r="AU769" s="84"/>
      <c r="AV769" s="80"/>
      <c r="AW769" s="81"/>
      <c r="AX769" s="77"/>
      <c r="AY769" s="107"/>
      <c r="AZ769" s="220">
        <f t="shared" si="44"/>
        <v>0</v>
      </c>
      <c r="BA769" s="220">
        <f t="shared" si="45"/>
        <v>0</v>
      </c>
    </row>
    <row r="770" spans="1:53" ht="50.1" customHeight="1" x14ac:dyDescent="0.25">
      <c r="A770" s="17">
        <f t="shared" si="46"/>
        <v>756</v>
      </c>
      <c r="B770" s="229"/>
      <c r="C770" s="222"/>
      <c r="D770" s="112"/>
      <c r="E770" s="128"/>
      <c r="F770" s="129"/>
      <c r="G770" s="130"/>
      <c r="H770" s="131"/>
      <c r="I770" s="132"/>
      <c r="J770" s="108"/>
      <c r="K770" s="133"/>
      <c r="L770" s="134"/>
      <c r="M770" s="334"/>
      <c r="N770" s="343"/>
      <c r="O770" s="135"/>
      <c r="P770" s="82"/>
      <c r="Q770" s="135"/>
      <c r="R770" s="82"/>
      <c r="S770" s="299"/>
      <c r="T770" s="305"/>
      <c r="U770" s="298"/>
      <c r="V770" s="304"/>
      <c r="W770" s="249"/>
      <c r="X770" s="344"/>
      <c r="Y770" s="337"/>
      <c r="Z770" s="33"/>
      <c r="AA770" s="83"/>
      <c r="AB770" s="33"/>
      <c r="AC770" s="83"/>
      <c r="AD770" s="33"/>
      <c r="AE770" s="83"/>
      <c r="AF770" s="33"/>
      <c r="AG770" s="244"/>
      <c r="AH770" s="83"/>
      <c r="AI770" s="246"/>
      <c r="AJ770" s="102"/>
      <c r="AK770" s="92"/>
      <c r="AL770" s="91"/>
      <c r="AM770" s="92"/>
      <c r="AN770" s="351"/>
      <c r="AO770" s="197">
        <f t="shared" si="47"/>
        <v>0</v>
      </c>
      <c r="AP770" s="91"/>
      <c r="AQ770" s="217"/>
      <c r="AR770" s="103"/>
      <c r="AS770" s="264"/>
      <c r="AT770" s="94"/>
      <c r="AU770" s="84"/>
      <c r="AV770" s="136"/>
      <c r="AW770" s="77"/>
      <c r="AX770" s="137"/>
      <c r="AY770" s="138"/>
      <c r="AZ770" s="220">
        <f t="shared" si="44"/>
        <v>0</v>
      </c>
      <c r="BA770" s="220">
        <f t="shared" si="45"/>
        <v>0</v>
      </c>
    </row>
    <row r="771" spans="1:53" ht="50.1" customHeight="1" x14ac:dyDescent="0.25">
      <c r="A771" s="17">
        <f t="shared" si="46"/>
        <v>757</v>
      </c>
      <c r="B771" s="228"/>
      <c r="C771" s="221"/>
      <c r="D771" s="88"/>
      <c r="E771" s="100"/>
      <c r="F771" s="95"/>
      <c r="G771" s="114"/>
      <c r="H771" s="96"/>
      <c r="I771" s="97"/>
      <c r="J771" s="98"/>
      <c r="K771" s="101"/>
      <c r="L771" s="124"/>
      <c r="M771" s="333"/>
      <c r="N771" s="341"/>
      <c r="O771" s="82"/>
      <c r="P771" s="93"/>
      <c r="Q771" s="82"/>
      <c r="R771" s="93"/>
      <c r="S771" s="298"/>
      <c r="T771" s="304"/>
      <c r="U771" s="307"/>
      <c r="V771" s="309"/>
      <c r="W771" s="248"/>
      <c r="X771" s="342"/>
      <c r="Y771" s="336"/>
      <c r="Z771" s="123"/>
      <c r="AA771" s="33"/>
      <c r="AB771" s="123"/>
      <c r="AC771" s="33"/>
      <c r="AD771" s="123"/>
      <c r="AE771" s="33"/>
      <c r="AF771" s="123"/>
      <c r="AG771" s="243"/>
      <c r="AH771" s="33"/>
      <c r="AI771" s="245"/>
      <c r="AJ771" s="125"/>
      <c r="AK771" s="91"/>
      <c r="AL771" s="126"/>
      <c r="AM771" s="91"/>
      <c r="AN771" s="91"/>
      <c r="AO771" s="197">
        <f t="shared" si="47"/>
        <v>0</v>
      </c>
      <c r="AP771" s="126"/>
      <c r="AQ771" s="216"/>
      <c r="AR771" s="127"/>
      <c r="AS771" s="269"/>
      <c r="AT771" s="94"/>
      <c r="AU771" s="84"/>
      <c r="AV771" s="80"/>
      <c r="AW771" s="81"/>
      <c r="AX771" s="77"/>
      <c r="AY771" s="107"/>
      <c r="AZ771" s="220">
        <f t="shared" si="44"/>
        <v>0</v>
      </c>
      <c r="BA771" s="220">
        <f t="shared" si="45"/>
        <v>0</v>
      </c>
    </row>
    <row r="772" spans="1:53" ht="50.1" customHeight="1" x14ac:dyDescent="0.25">
      <c r="A772" s="17">
        <f t="shared" si="46"/>
        <v>758</v>
      </c>
      <c r="B772" s="229"/>
      <c r="C772" s="222"/>
      <c r="D772" s="112"/>
      <c r="E772" s="128"/>
      <c r="F772" s="129"/>
      <c r="G772" s="130"/>
      <c r="H772" s="131"/>
      <c r="I772" s="132"/>
      <c r="J772" s="108"/>
      <c r="K772" s="133"/>
      <c r="L772" s="134"/>
      <c r="M772" s="334"/>
      <c r="N772" s="343"/>
      <c r="O772" s="135"/>
      <c r="P772" s="82"/>
      <c r="Q772" s="135"/>
      <c r="R772" s="82"/>
      <c r="S772" s="299"/>
      <c r="T772" s="305"/>
      <c r="U772" s="298"/>
      <c r="V772" s="304"/>
      <c r="W772" s="249"/>
      <c r="X772" s="344"/>
      <c r="Y772" s="337"/>
      <c r="Z772" s="33"/>
      <c r="AA772" s="83"/>
      <c r="AB772" s="33"/>
      <c r="AC772" s="83"/>
      <c r="AD772" s="33"/>
      <c r="AE772" s="83"/>
      <c r="AF772" s="33"/>
      <c r="AG772" s="244"/>
      <c r="AH772" s="83"/>
      <c r="AI772" s="246"/>
      <c r="AJ772" s="102"/>
      <c r="AK772" s="92"/>
      <c r="AL772" s="91"/>
      <c r="AM772" s="92"/>
      <c r="AN772" s="351"/>
      <c r="AO772" s="197">
        <f t="shared" si="47"/>
        <v>0</v>
      </c>
      <c r="AP772" s="91"/>
      <c r="AQ772" s="217"/>
      <c r="AR772" s="103"/>
      <c r="AS772" s="264"/>
      <c r="AT772" s="94"/>
      <c r="AU772" s="84"/>
      <c r="AV772" s="136"/>
      <c r="AW772" s="77"/>
      <c r="AX772" s="137"/>
      <c r="AY772" s="138"/>
      <c r="AZ772" s="220">
        <f t="shared" si="44"/>
        <v>0</v>
      </c>
      <c r="BA772" s="220">
        <f t="shared" si="45"/>
        <v>0</v>
      </c>
    </row>
    <row r="773" spans="1:53" ht="50.1" customHeight="1" x14ac:dyDescent="0.25">
      <c r="A773" s="17">
        <f t="shared" si="46"/>
        <v>759</v>
      </c>
      <c r="B773" s="228"/>
      <c r="C773" s="221"/>
      <c r="D773" s="88"/>
      <c r="E773" s="100"/>
      <c r="F773" s="95"/>
      <c r="G773" s="114"/>
      <c r="H773" s="96"/>
      <c r="I773" s="97"/>
      <c r="J773" s="98"/>
      <c r="K773" s="101"/>
      <c r="L773" s="124"/>
      <c r="M773" s="333"/>
      <c r="N773" s="341"/>
      <c r="O773" s="82"/>
      <c r="P773" s="93"/>
      <c r="Q773" s="82"/>
      <c r="R773" s="93"/>
      <c r="S773" s="298"/>
      <c r="T773" s="304"/>
      <c r="U773" s="307"/>
      <c r="V773" s="309"/>
      <c r="W773" s="248"/>
      <c r="X773" s="342"/>
      <c r="Y773" s="336"/>
      <c r="Z773" s="123"/>
      <c r="AA773" s="33"/>
      <c r="AB773" s="123"/>
      <c r="AC773" s="33"/>
      <c r="AD773" s="123"/>
      <c r="AE773" s="33"/>
      <c r="AF773" s="123"/>
      <c r="AG773" s="243"/>
      <c r="AH773" s="33"/>
      <c r="AI773" s="245"/>
      <c r="AJ773" s="125"/>
      <c r="AK773" s="91"/>
      <c r="AL773" s="126"/>
      <c r="AM773" s="91"/>
      <c r="AN773" s="91"/>
      <c r="AO773" s="197">
        <f t="shared" si="47"/>
        <v>0</v>
      </c>
      <c r="AP773" s="126"/>
      <c r="AQ773" s="216"/>
      <c r="AR773" s="127"/>
      <c r="AS773" s="269"/>
      <c r="AT773" s="94"/>
      <c r="AU773" s="84"/>
      <c r="AV773" s="80"/>
      <c r="AW773" s="81"/>
      <c r="AX773" s="77"/>
      <c r="AY773" s="107"/>
      <c r="AZ773" s="220">
        <f t="shared" si="44"/>
        <v>0</v>
      </c>
      <c r="BA773" s="220">
        <f t="shared" si="45"/>
        <v>0</v>
      </c>
    </row>
    <row r="774" spans="1:53" ht="50.1" customHeight="1" x14ac:dyDescent="0.25">
      <c r="A774" s="17">
        <f t="shared" si="46"/>
        <v>760</v>
      </c>
      <c r="B774" s="229"/>
      <c r="C774" s="222"/>
      <c r="D774" s="112"/>
      <c r="E774" s="128"/>
      <c r="F774" s="129"/>
      <c r="G774" s="130"/>
      <c r="H774" s="131"/>
      <c r="I774" s="132"/>
      <c r="J774" s="108"/>
      <c r="K774" s="133"/>
      <c r="L774" s="134"/>
      <c r="M774" s="334"/>
      <c r="N774" s="343"/>
      <c r="O774" s="135"/>
      <c r="P774" s="82"/>
      <c r="Q774" s="135"/>
      <c r="R774" s="82"/>
      <c r="S774" s="299"/>
      <c r="T774" s="305"/>
      <c r="U774" s="298"/>
      <c r="V774" s="304"/>
      <c r="W774" s="249"/>
      <c r="X774" s="344"/>
      <c r="Y774" s="337"/>
      <c r="Z774" s="33"/>
      <c r="AA774" s="83"/>
      <c r="AB774" s="33"/>
      <c r="AC774" s="83"/>
      <c r="AD774" s="33"/>
      <c r="AE774" s="83"/>
      <c r="AF774" s="33"/>
      <c r="AG774" s="244"/>
      <c r="AH774" s="83"/>
      <c r="AI774" s="246"/>
      <c r="AJ774" s="102"/>
      <c r="AK774" s="92"/>
      <c r="AL774" s="91"/>
      <c r="AM774" s="92"/>
      <c r="AN774" s="351"/>
      <c r="AO774" s="197">
        <f t="shared" si="47"/>
        <v>0</v>
      </c>
      <c r="AP774" s="91"/>
      <c r="AQ774" s="217"/>
      <c r="AR774" s="103"/>
      <c r="AS774" s="264"/>
      <c r="AT774" s="94"/>
      <c r="AU774" s="84"/>
      <c r="AV774" s="136"/>
      <c r="AW774" s="77"/>
      <c r="AX774" s="137"/>
      <c r="AY774" s="138"/>
      <c r="AZ774" s="220">
        <f t="shared" si="44"/>
        <v>0</v>
      </c>
      <c r="BA774" s="220">
        <f t="shared" si="45"/>
        <v>0</v>
      </c>
    </row>
    <row r="775" spans="1:53" ht="50.1" customHeight="1" x14ac:dyDescent="0.25">
      <c r="A775" s="17">
        <f t="shared" si="46"/>
        <v>761</v>
      </c>
      <c r="B775" s="228"/>
      <c r="C775" s="221"/>
      <c r="D775" s="88"/>
      <c r="E775" s="100"/>
      <c r="F775" s="95"/>
      <c r="G775" s="114"/>
      <c r="H775" s="96"/>
      <c r="I775" s="97"/>
      <c r="J775" s="98"/>
      <c r="K775" s="101"/>
      <c r="L775" s="124"/>
      <c r="M775" s="333"/>
      <c r="N775" s="341"/>
      <c r="O775" s="82"/>
      <c r="P775" s="93"/>
      <c r="Q775" s="82"/>
      <c r="R775" s="93"/>
      <c r="S775" s="298"/>
      <c r="T775" s="304"/>
      <c r="U775" s="307"/>
      <c r="V775" s="309"/>
      <c r="W775" s="248"/>
      <c r="X775" s="342"/>
      <c r="Y775" s="336"/>
      <c r="Z775" s="123"/>
      <c r="AA775" s="33"/>
      <c r="AB775" s="123"/>
      <c r="AC775" s="33"/>
      <c r="AD775" s="123"/>
      <c r="AE775" s="33"/>
      <c r="AF775" s="123"/>
      <c r="AG775" s="243"/>
      <c r="AH775" s="33"/>
      <c r="AI775" s="245"/>
      <c r="AJ775" s="125"/>
      <c r="AK775" s="91"/>
      <c r="AL775" s="126"/>
      <c r="AM775" s="91"/>
      <c r="AN775" s="91"/>
      <c r="AO775" s="197">
        <f t="shared" si="47"/>
        <v>0</v>
      </c>
      <c r="AP775" s="126"/>
      <c r="AQ775" s="216"/>
      <c r="AR775" s="127"/>
      <c r="AS775" s="269"/>
      <c r="AT775" s="94"/>
      <c r="AU775" s="84"/>
      <c r="AV775" s="80"/>
      <c r="AW775" s="81"/>
      <c r="AX775" s="77"/>
      <c r="AY775" s="107"/>
      <c r="AZ775" s="220">
        <f t="shared" si="44"/>
        <v>0</v>
      </c>
      <c r="BA775" s="220">
        <f t="shared" si="45"/>
        <v>0</v>
      </c>
    </row>
    <row r="776" spans="1:53" ht="50.1" customHeight="1" x14ac:dyDescent="0.25">
      <c r="A776" s="17">
        <f t="shared" si="46"/>
        <v>762</v>
      </c>
      <c r="B776" s="229"/>
      <c r="C776" s="222"/>
      <c r="D776" s="112"/>
      <c r="E776" s="128"/>
      <c r="F776" s="129"/>
      <c r="G776" s="130"/>
      <c r="H776" s="131"/>
      <c r="I776" s="132"/>
      <c r="J776" s="108"/>
      <c r="K776" s="133"/>
      <c r="L776" s="134"/>
      <c r="M776" s="334"/>
      <c r="N776" s="343"/>
      <c r="O776" s="135"/>
      <c r="P776" s="82"/>
      <c r="Q776" s="135"/>
      <c r="R776" s="82"/>
      <c r="S776" s="299"/>
      <c r="T776" s="305"/>
      <c r="U776" s="298"/>
      <c r="V776" s="304"/>
      <c r="W776" s="249"/>
      <c r="X776" s="344"/>
      <c r="Y776" s="337"/>
      <c r="Z776" s="33"/>
      <c r="AA776" s="83"/>
      <c r="AB776" s="33"/>
      <c r="AC776" s="83"/>
      <c r="AD776" s="33"/>
      <c r="AE776" s="83"/>
      <c r="AF776" s="33"/>
      <c r="AG776" s="244"/>
      <c r="AH776" s="83"/>
      <c r="AI776" s="246"/>
      <c r="AJ776" s="102"/>
      <c r="AK776" s="92"/>
      <c r="AL776" s="91"/>
      <c r="AM776" s="92"/>
      <c r="AN776" s="351"/>
      <c r="AO776" s="197">
        <f t="shared" si="47"/>
        <v>0</v>
      </c>
      <c r="AP776" s="91"/>
      <c r="AQ776" s="217"/>
      <c r="AR776" s="103"/>
      <c r="AS776" s="264"/>
      <c r="AT776" s="94"/>
      <c r="AU776" s="84"/>
      <c r="AV776" s="136"/>
      <c r="AW776" s="77"/>
      <c r="AX776" s="137"/>
      <c r="AY776" s="138"/>
      <c r="AZ776" s="220">
        <f t="shared" si="44"/>
        <v>0</v>
      </c>
      <c r="BA776" s="220">
        <f t="shared" si="45"/>
        <v>0</v>
      </c>
    </row>
    <row r="777" spans="1:53" ht="50.1" customHeight="1" x14ac:dyDescent="0.25">
      <c r="A777" s="17">
        <f t="shared" si="46"/>
        <v>763</v>
      </c>
      <c r="B777" s="228"/>
      <c r="C777" s="221"/>
      <c r="D777" s="88"/>
      <c r="E777" s="100"/>
      <c r="F777" s="95"/>
      <c r="G777" s="114"/>
      <c r="H777" s="96"/>
      <c r="I777" s="97"/>
      <c r="J777" s="98"/>
      <c r="K777" s="101"/>
      <c r="L777" s="124"/>
      <c r="M777" s="333"/>
      <c r="N777" s="341"/>
      <c r="O777" s="82"/>
      <c r="P777" s="93"/>
      <c r="Q777" s="82"/>
      <c r="R777" s="93"/>
      <c r="S777" s="298"/>
      <c r="T777" s="304"/>
      <c r="U777" s="307"/>
      <c r="V777" s="309"/>
      <c r="W777" s="248"/>
      <c r="X777" s="342"/>
      <c r="Y777" s="336"/>
      <c r="Z777" s="123"/>
      <c r="AA777" s="33"/>
      <c r="AB777" s="123"/>
      <c r="AC777" s="33"/>
      <c r="AD777" s="123"/>
      <c r="AE777" s="33"/>
      <c r="AF777" s="123"/>
      <c r="AG777" s="243"/>
      <c r="AH777" s="33"/>
      <c r="AI777" s="245"/>
      <c r="AJ777" s="125"/>
      <c r="AK777" s="91"/>
      <c r="AL777" s="126"/>
      <c r="AM777" s="91"/>
      <c r="AN777" s="91"/>
      <c r="AO777" s="197">
        <f t="shared" si="47"/>
        <v>0</v>
      </c>
      <c r="AP777" s="126"/>
      <c r="AQ777" s="216"/>
      <c r="AR777" s="127"/>
      <c r="AS777" s="269"/>
      <c r="AT777" s="94"/>
      <c r="AU777" s="84"/>
      <c r="AV777" s="80"/>
      <c r="AW777" s="81"/>
      <c r="AX777" s="77"/>
      <c r="AY777" s="107"/>
      <c r="AZ777" s="220">
        <f t="shared" si="44"/>
        <v>0</v>
      </c>
      <c r="BA777" s="220">
        <f t="shared" si="45"/>
        <v>0</v>
      </c>
    </row>
    <row r="778" spans="1:53" ht="50.1" customHeight="1" x14ac:dyDescent="0.25">
      <c r="A778" s="17">
        <f t="shared" si="46"/>
        <v>764</v>
      </c>
      <c r="B778" s="229"/>
      <c r="C778" s="222"/>
      <c r="D778" s="112"/>
      <c r="E778" s="128"/>
      <c r="F778" s="129"/>
      <c r="G778" s="130"/>
      <c r="H778" s="131"/>
      <c r="I778" s="132"/>
      <c r="J778" s="108"/>
      <c r="K778" s="133"/>
      <c r="L778" s="134"/>
      <c r="M778" s="334"/>
      <c r="N778" s="343"/>
      <c r="O778" s="135"/>
      <c r="P778" s="82"/>
      <c r="Q778" s="135"/>
      <c r="R778" s="82"/>
      <c r="S778" s="299"/>
      <c r="T778" s="305"/>
      <c r="U778" s="298"/>
      <c r="V778" s="304"/>
      <c r="W778" s="249"/>
      <c r="X778" s="344"/>
      <c r="Y778" s="337"/>
      <c r="Z778" s="33"/>
      <c r="AA778" s="83"/>
      <c r="AB778" s="33"/>
      <c r="AC778" s="83"/>
      <c r="AD778" s="33"/>
      <c r="AE778" s="83"/>
      <c r="AF778" s="33"/>
      <c r="AG778" s="244"/>
      <c r="AH778" s="83"/>
      <c r="AI778" s="246"/>
      <c r="AJ778" s="102"/>
      <c r="AK778" s="92"/>
      <c r="AL778" s="91"/>
      <c r="AM778" s="92"/>
      <c r="AN778" s="351"/>
      <c r="AO778" s="197">
        <f t="shared" si="47"/>
        <v>0</v>
      </c>
      <c r="AP778" s="91"/>
      <c r="AQ778" s="217"/>
      <c r="AR778" s="103"/>
      <c r="AS778" s="264"/>
      <c r="AT778" s="94"/>
      <c r="AU778" s="84"/>
      <c r="AV778" s="136"/>
      <c r="AW778" s="77"/>
      <c r="AX778" s="137"/>
      <c r="AY778" s="138"/>
      <c r="AZ778" s="220">
        <f t="shared" si="44"/>
        <v>0</v>
      </c>
      <c r="BA778" s="220">
        <f t="shared" si="45"/>
        <v>0</v>
      </c>
    </row>
    <row r="779" spans="1:53" ht="50.1" customHeight="1" x14ac:dyDescent="0.25">
      <c r="A779" s="17">
        <f t="shared" si="46"/>
        <v>765</v>
      </c>
      <c r="B779" s="228"/>
      <c r="C779" s="221"/>
      <c r="D779" s="88"/>
      <c r="E779" s="100"/>
      <c r="F779" s="95"/>
      <c r="G779" s="114"/>
      <c r="H779" s="96"/>
      <c r="I779" s="97"/>
      <c r="J779" s="98"/>
      <c r="K779" s="101"/>
      <c r="L779" s="124"/>
      <c r="M779" s="333"/>
      <c r="N779" s="341"/>
      <c r="O779" s="82"/>
      <c r="P779" s="93"/>
      <c r="Q779" s="82"/>
      <c r="R779" s="93"/>
      <c r="S779" s="298"/>
      <c r="T779" s="304"/>
      <c r="U779" s="307"/>
      <c r="V779" s="309"/>
      <c r="W779" s="248"/>
      <c r="X779" s="342"/>
      <c r="Y779" s="336"/>
      <c r="Z779" s="123"/>
      <c r="AA779" s="33"/>
      <c r="AB779" s="123"/>
      <c r="AC779" s="33"/>
      <c r="AD779" s="123"/>
      <c r="AE779" s="33"/>
      <c r="AF779" s="123"/>
      <c r="AG779" s="243"/>
      <c r="AH779" s="33"/>
      <c r="AI779" s="245"/>
      <c r="AJ779" s="125"/>
      <c r="AK779" s="91"/>
      <c r="AL779" s="126"/>
      <c r="AM779" s="91"/>
      <c r="AN779" s="91"/>
      <c r="AO779" s="197">
        <f t="shared" si="47"/>
        <v>0</v>
      </c>
      <c r="AP779" s="126"/>
      <c r="AQ779" s="216"/>
      <c r="AR779" s="127"/>
      <c r="AS779" s="269"/>
      <c r="AT779" s="94"/>
      <c r="AU779" s="84"/>
      <c r="AV779" s="80"/>
      <c r="AW779" s="81"/>
      <c r="AX779" s="77"/>
      <c r="AY779" s="107"/>
      <c r="AZ779" s="220">
        <f t="shared" si="44"/>
        <v>0</v>
      </c>
      <c r="BA779" s="220">
        <f t="shared" si="45"/>
        <v>0</v>
      </c>
    </row>
    <row r="780" spans="1:53" ht="50.1" customHeight="1" x14ac:dyDescent="0.25">
      <c r="A780" s="17">
        <f t="shared" si="46"/>
        <v>766</v>
      </c>
      <c r="B780" s="229"/>
      <c r="C780" s="222"/>
      <c r="D780" s="112"/>
      <c r="E780" s="128"/>
      <c r="F780" s="129"/>
      <c r="G780" s="130"/>
      <c r="H780" s="131"/>
      <c r="I780" s="132"/>
      <c r="J780" s="108"/>
      <c r="K780" s="133"/>
      <c r="L780" s="134"/>
      <c r="M780" s="334"/>
      <c r="N780" s="343"/>
      <c r="O780" s="135"/>
      <c r="P780" s="82"/>
      <c r="Q780" s="135"/>
      <c r="R780" s="82"/>
      <c r="S780" s="299"/>
      <c r="T780" s="305"/>
      <c r="U780" s="298"/>
      <c r="V780" s="304"/>
      <c r="W780" s="249"/>
      <c r="X780" s="344"/>
      <c r="Y780" s="337"/>
      <c r="Z780" s="33"/>
      <c r="AA780" s="83"/>
      <c r="AB780" s="33"/>
      <c r="AC780" s="83"/>
      <c r="AD780" s="33"/>
      <c r="AE780" s="83"/>
      <c r="AF780" s="33"/>
      <c r="AG780" s="244"/>
      <c r="AH780" s="83"/>
      <c r="AI780" s="246"/>
      <c r="AJ780" s="102"/>
      <c r="AK780" s="92"/>
      <c r="AL780" s="91"/>
      <c r="AM780" s="92"/>
      <c r="AN780" s="351"/>
      <c r="AO780" s="197">
        <f t="shared" si="47"/>
        <v>0</v>
      </c>
      <c r="AP780" s="91"/>
      <c r="AQ780" s="217"/>
      <c r="AR780" s="103"/>
      <c r="AS780" s="264"/>
      <c r="AT780" s="94"/>
      <c r="AU780" s="84"/>
      <c r="AV780" s="136"/>
      <c r="AW780" s="77"/>
      <c r="AX780" s="137"/>
      <c r="AY780" s="138"/>
      <c r="AZ780" s="220">
        <f t="shared" si="44"/>
        <v>0</v>
      </c>
      <c r="BA780" s="220">
        <f t="shared" si="45"/>
        <v>0</v>
      </c>
    </row>
    <row r="781" spans="1:53" ht="50.1" customHeight="1" x14ac:dyDescent="0.25">
      <c r="A781" s="17">
        <f t="shared" si="46"/>
        <v>767</v>
      </c>
      <c r="B781" s="228"/>
      <c r="C781" s="221"/>
      <c r="D781" s="88"/>
      <c r="E781" s="100"/>
      <c r="F781" s="95"/>
      <c r="G781" s="114"/>
      <c r="H781" s="96"/>
      <c r="I781" s="97"/>
      <c r="J781" s="98"/>
      <c r="K781" s="101"/>
      <c r="L781" s="124"/>
      <c r="M781" s="333"/>
      <c r="N781" s="341"/>
      <c r="O781" s="82"/>
      <c r="P781" s="93"/>
      <c r="Q781" s="82"/>
      <c r="R781" s="93"/>
      <c r="S781" s="298"/>
      <c r="T781" s="304"/>
      <c r="U781" s="307"/>
      <c r="V781" s="309"/>
      <c r="W781" s="248"/>
      <c r="X781" s="342"/>
      <c r="Y781" s="336"/>
      <c r="Z781" s="123"/>
      <c r="AA781" s="33"/>
      <c r="AB781" s="123"/>
      <c r="AC781" s="33"/>
      <c r="AD781" s="123"/>
      <c r="AE781" s="33"/>
      <c r="AF781" s="123"/>
      <c r="AG781" s="243"/>
      <c r="AH781" s="33"/>
      <c r="AI781" s="245"/>
      <c r="AJ781" s="125"/>
      <c r="AK781" s="91"/>
      <c r="AL781" s="126"/>
      <c r="AM781" s="91"/>
      <c r="AN781" s="91"/>
      <c r="AO781" s="197">
        <f t="shared" si="47"/>
        <v>0</v>
      </c>
      <c r="AP781" s="126"/>
      <c r="AQ781" s="216"/>
      <c r="AR781" s="127"/>
      <c r="AS781" s="269"/>
      <c r="AT781" s="94"/>
      <c r="AU781" s="84"/>
      <c r="AV781" s="80"/>
      <c r="AW781" s="81"/>
      <c r="AX781" s="77"/>
      <c r="AY781" s="107"/>
      <c r="AZ781" s="220">
        <f t="shared" si="44"/>
        <v>0</v>
      </c>
      <c r="BA781" s="220">
        <f t="shared" si="45"/>
        <v>0</v>
      </c>
    </row>
    <row r="782" spans="1:53" ht="50.1" customHeight="1" x14ac:dyDescent="0.25">
      <c r="A782" s="17">
        <f t="shared" si="46"/>
        <v>768</v>
      </c>
      <c r="B782" s="229"/>
      <c r="C782" s="222"/>
      <c r="D782" s="112"/>
      <c r="E782" s="128"/>
      <c r="F782" s="129"/>
      <c r="G782" s="130"/>
      <c r="H782" s="131"/>
      <c r="I782" s="132"/>
      <c r="J782" s="108"/>
      <c r="K782" s="133"/>
      <c r="L782" s="134"/>
      <c r="M782" s="334"/>
      <c r="N782" s="343"/>
      <c r="O782" s="135"/>
      <c r="P782" s="82"/>
      <c r="Q782" s="135"/>
      <c r="R782" s="82"/>
      <c r="S782" s="299"/>
      <c r="T782" s="305"/>
      <c r="U782" s="298"/>
      <c r="V782" s="304"/>
      <c r="W782" s="249"/>
      <c r="X782" s="344"/>
      <c r="Y782" s="337"/>
      <c r="Z782" s="33"/>
      <c r="AA782" s="83"/>
      <c r="AB782" s="33"/>
      <c r="AC782" s="83"/>
      <c r="AD782" s="33"/>
      <c r="AE782" s="83"/>
      <c r="AF782" s="33"/>
      <c r="AG782" s="244"/>
      <c r="AH782" s="83"/>
      <c r="AI782" s="246"/>
      <c r="AJ782" s="102"/>
      <c r="AK782" s="92"/>
      <c r="AL782" s="91"/>
      <c r="AM782" s="92"/>
      <c r="AN782" s="351"/>
      <c r="AO782" s="197">
        <f t="shared" si="47"/>
        <v>0</v>
      </c>
      <c r="AP782" s="91"/>
      <c r="AQ782" s="217"/>
      <c r="AR782" s="103"/>
      <c r="AS782" s="264"/>
      <c r="AT782" s="94"/>
      <c r="AU782" s="84"/>
      <c r="AV782" s="136"/>
      <c r="AW782" s="77"/>
      <c r="AX782" s="137"/>
      <c r="AY782" s="138"/>
      <c r="AZ782" s="220">
        <f t="shared" si="44"/>
        <v>0</v>
      </c>
      <c r="BA782" s="220">
        <f t="shared" si="45"/>
        <v>0</v>
      </c>
    </row>
    <row r="783" spans="1:53" ht="50.1" customHeight="1" x14ac:dyDescent="0.25">
      <c r="A783" s="17">
        <f t="shared" si="46"/>
        <v>769</v>
      </c>
      <c r="B783" s="228"/>
      <c r="C783" s="221"/>
      <c r="D783" s="88"/>
      <c r="E783" s="100"/>
      <c r="F783" s="95"/>
      <c r="G783" s="114"/>
      <c r="H783" s="96"/>
      <c r="I783" s="97"/>
      <c r="J783" s="98"/>
      <c r="K783" s="101"/>
      <c r="L783" s="124"/>
      <c r="M783" s="333"/>
      <c r="N783" s="341"/>
      <c r="O783" s="82"/>
      <c r="P783" s="93"/>
      <c r="Q783" s="82"/>
      <c r="R783" s="93"/>
      <c r="S783" s="298"/>
      <c r="T783" s="304"/>
      <c r="U783" s="307"/>
      <c r="V783" s="309"/>
      <c r="W783" s="248"/>
      <c r="X783" s="342"/>
      <c r="Y783" s="336"/>
      <c r="Z783" s="123"/>
      <c r="AA783" s="33"/>
      <c r="AB783" s="123"/>
      <c r="AC783" s="33"/>
      <c r="AD783" s="123"/>
      <c r="AE783" s="33"/>
      <c r="AF783" s="123"/>
      <c r="AG783" s="243"/>
      <c r="AH783" s="33"/>
      <c r="AI783" s="245"/>
      <c r="AJ783" s="125"/>
      <c r="AK783" s="91"/>
      <c r="AL783" s="126"/>
      <c r="AM783" s="91"/>
      <c r="AN783" s="91"/>
      <c r="AO783" s="197">
        <f t="shared" si="47"/>
        <v>0</v>
      </c>
      <c r="AP783" s="126"/>
      <c r="AQ783" s="216"/>
      <c r="AR783" s="127"/>
      <c r="AS783" s="269"/>
      <c r="AT783" s="94"/>
      <c r="AU783" s="84"/>
      <c r="AV783" s="80"/>
      <c r="AW783" s="81"/>
      <c r="AX783" s="77"/>
      <c r="AY783" s="107"/>
      <c r="AZ783" s="220">
        <f t="shared" ref="AZ783:AZ846" si="48">M783-B783</f>
        <v>0</v>
      </c>
      <c r="BA783" s="220">
        <f t="shared" ref="BA783:BA846" si="49">AU783-M783</f>
        <v>0</v>
      </c>
    </row>
    <row r="784" spans="1:53" ht="50.1" customHeight="1" x14ac:dyDescent="0.25">
      <c r="A784" s="17">
        <f t="shared" ref="A784:A847" si="50">ROW(A770)</f>
        <v>770</v>
      </c>
      <c r="B784" s="229"/>
      <c r="C784" s="222"/>
      <c r="D784" s="112"/>
      <c r="E784" s="128"/>
      <c r="F784" s="129"/>
      <c r="G784" s="130"/>
      <c r="H784" s="131"/>
      <c r="I784" s="132"/>
      <c r="J784" s="108"/>
      <c r="K784" s="133"/>
      <c r="L784" s="134"/>
      <c r="M784" s="334"/>
      <c r="N784" s="343"/>
      <c r="O784" s="135"/>
      <c r="P784" s="82"/>
      <c r="Q784" s="135"/>
      <c r="R784" s="82"/>
      <c r="S784" s="299"/>
      <c r="T784" s="305"/>
      <c r="U784" s="298"/>
      <c r="V784" s="304"/>
      <c r="W784" s="249"/>
      <c r="X784" s="344"/>
      <c r="Y784" s="337"/>
      <c r="Z784" s="33"/>
      <c r="AA784" s="83"/>
      <c r="AB784" s="33"/>
      <c r="AC784" s="83"/>
      <c r="AD784" s="33"/>
      <c r="AE784" s="83"/>
      <c r="AF784" s="33"/>
      <c r="AG784" s="244"/>
      <c r="AH784" s="83"/>
      <c r="AI784" s="246"/>
      <c r="AJ784" s="102"/>
      <c r="AK784" s="92"/>
      <c r="AL784" s="91"/>
      <c r="AM784" s="92"/>
      <c r="AN784" s="351"/>
      <c r="AO784" s="197">
        <f t="shared" ref="AO784:AO847" si="51">AJ784-AK784-AL784-AM784-AN784</f>
        <v>0</v>
      </c>
      <c r="AP784" s="91"/>
      <c r="AQ784" s="217"/>
      <c r="AR784" s="103"/>
      <c r="AS784" s="264"/>
      <c r="AT784" s="94"/>
      <c r="AU784" s="84"/>
      <c r="AV784" s="136"/>
      <c r="AW784" s="77"/>
      <c r="AX784" s="137"/>
      <c r="AY784" s="138"/>
      <c r="AZ784" s="220">
        <f t="shared" si="48"/>
        <v>0</v>
      </c>
      <c r="BA784" s="220">
        <f t="shared" si="49"/>
        <v>0</v>
      </c>
    </row>
    <row r="785" spans="1:53" ht="50.1" customHeight="1" x14ac:dyDescent="0.25">
      <c r="A785" s="17">
        <f t="shared" si="50"/>
        <v>771</v>
      </c>
      <c r="B785" s="228"/>
      <c r="C785" s="221"/>
      <c r="D785" s="88"/>
      <c r="E785" s="100"/>
      <c r="F785" s="95"/>
      <c r="G785" s="114"/>
      <c r="H785" s="96"/>
      <c r="I785" s="97"/>
      <c r="J785" s="98"/>
      <c r="K785" s="101"/>
      <c r="L785" s="124"/>
      <c r="M785" s="333"/>
      <c r="N785" s="341"/>
      <c r="O785" s="82"/>
      <c r="P785" s="93"/>
      <c r="Q785" s="82"/>
      <c r="R785" s="93"/>
      <c r="S785" s="298"/>
      <c r="T785" s="304"/>
      <c r="U785" s="307"/>
      <c r="V785" s="309"/>
      <c r="W785" s="248"/>
      <c r="X785" s="342"/>
      <c r="Y785" s="336"/>
      <c r="Z785" s="123"/>
      <c r="AA785" s="33"/>
      <c r="AB785" s="123"/>
      <c r="AC785" s="33"/>
      <c r="AD785" s="123"/>
      <c r="AE785" s="33"/>
      <c r="AF785" s="123"/>
      <c r="AG785" s="243"/>
      <c r="AH785" s="33"/>
      <c r="AI785" s="245"/>
      <c r="AJ785" s="125"/>
      <c r="AK785" s="91"/>
      <c r="AL785" s="126"/>
      <c r="AM785" s="91"/>
      <c r="AN785" s="91"/>
      <c r="AO785" s="197">
        <f t="shared" si="51"/>
        <v>0</v>
      </c>
      <c r="AP785" s="126"/>
      <c r="AQ785" s="216"/>
      <c r="AR785" s="127"/>
      <c r="AS785" s="269"/>
      <c r="AT785" s="94"/>
      <c r="AU785" s="84"/>
      <c r="AV785" s="80"/>
      <c r="AW785" s="81"/>
      <c r="AX785" s="77"/>
      <c r="AY785" s="107"/>
      <c r="AZ785" s="220">
        <f t="shared" si="48"/>
        <v>0</v>
      </c>
      <c r="BA785" s="220">
        <f t="shared" si="49"/>
        <v>0</v>
      </c>
    </row>
    <row r="786" spans="1:53" ht="50.1" customHeight="1" x14ac:dyDescent="0.25">
      <c r="A786" s="17">
        <f t="shared" si="50"/>
        <v>772</v>
      </c>
      <c r="B786" s="229"/>
      <c r="C786" s="222"/>
      <c r="D786" s="112"/>
      <c r="E786" s="128"/>
      <c r="F786" s="129"/>
      <c r="G786" s="130"/>
      <c r="H786" s="131"/>
      <c r="I786" s="132"/>
      <c r="J786" s="108"/>
      <c r="K786" s="133"/>
      <c r="L786" s="134"/>
      <c r="M786" s="334"/>
      <c r="N786" s="343"/>
      <c r="O786" s="135"/>
      <c r="P786" s="82"/>
      <c r="Q786" s="135"/>
      <c r="R786" s="82"/>
      <c r="S786" s="299"/>
      <c r="T786" s="305"/>
      <c r="U786" s="298"/>
      <c r="V786" s="304"/>
      <c r="W786" s="249"/>
      <c r="X786" s="344"/>
      <c r="Y786" s="337"/>
      <c r="Z786" s="33"/>
      <c r="AA786" s="83"/>
      <c r="AB786" s="33"/>
      <c r="AC786" s="83"/>
      <c r="AD786" s="33"/>
      <c r="AE786" s="83"/>
      <c r="AF786" s="33"/>
      <c r="AG786" s="244"/>
      <c r="AH786" s="83"/>
      <c r="AI786" s="246"/>
      <c r="AJ786" s="102"/>
      <c r="AK786" s="92"/>
      <c r="AL786" s="91"/>
      <c r="AM786" s="92"/>
      <c r="AN786" s="351"/>
      <c r="AO786" s="197">
        <f t="shared" si="51"/>
        <v>0</v>
      </c>
      <c r="AP786" s="91"/>
      <c r="AQ786" s="217"/>
      <c r="AR786" s="103"/>
      <c r="AS786" s="264"/>
      <c r="AT786" s="94"/>
      <c r="AU786" s="84"/>
      <c r="AV786" s="136"/>
      <c r="AW786" s="77"/>
      <c r="AX786" s="137"/>
      <c r="AY786" s="138"/>
      <c r="AZ786" s="220">
        <f t="shared" si="48"/>
        <v>0</v>
      </c>
      <c r="BA786" s="220">
        <f t="shared" si="49"/>
        <v>0</v>
      </c>
    </row>
    <row r="787" spans="1:53" ht="50.1" customHeight="1" x14ac:dyDescent="0.25">
      <c r="A787" s="17">
        <f t="shared" si="50"/>
        <v>773</v>
      </c>
      <c r="B787" s="228"/>
      <c r="C787" s="221"/>
      <c r="D787" s="88"/>
      <c r="E787" s="100"/>
      <c r="F787" s="95"/>
      <c r="G787" s="114"/>
      <c r="H787" s="96"/>
      <c r="I787" s="97"/>
      <c r="J787" s="98"/>
      <c r="K787" s="101"/>
      <c r="L787" s="124"/>
      <c r="M787" s="333"/>
      <c r="N787" s="341"/>
      <c r="O787" s="82"/>
      <c r="P787" s="93"/>
      <c r="Q787" s="82"/>
      <c r="R787" s="93"/>
      <c r="S787" s="298"/>
      <c r="T787" s="304"/>
      <c r="U787" s="307"/>
      <c r="V787" s="309"/>
      <c r="W787" s="248"/>
      <c r="X787" s="342"/>
      <c r="Y787" s="336"/>
      <c r="Z787" s="123"/>
      <c r="AA787" s="33"/>
      <c r="AB787" s="123"/>
      <c r="AC787" s="33"/>
      <c r="AD787" s="123"/>
      <c r="AE787" s="33"/>
      <c r="AF787" s="123"/>
      <c r="AG787" s="243"/>
      <c r="AH787" s="33"/>
      <c r="AI787" s="245"/>
      <c r="AJ787" s="125"/>
      <c r="AK787" s="91"/>
      <c r="AL787" s="126"/>
      <c r="AM787" s="91"/>
      <c r="AN787" s="91"/>
      <c r="AO787" s="197">
        <f t="shared" si="51"/>
        <v>0</v>
      </c>
      <c r="AP787" s="126"/>
      <c r="AQ787" s="216"/>
      <c r="AR787" s="127"/>
      <c r="AS787" s="269"/>
      <c r="AT787" s="94"/>
      <c r="AU787" s="84"/>
      <c r="AV787" s="80"/>
      <c r="AW787" s="81"/>
      <c r="AX787" s="77"/>
      <c r="AY787" s="107"/>
      <c r="AZ787" s="220">
        <f t="shared" si="48"/>
        <v>0</v>
      </c>
      <c r="BA787" s="220">
        <f t="shared" si="49"/>
        <v>0</v>
      </c>
    </row>
    <row r="788" spans="1:53" ht="50.1" customHeight="1" x14ac:dyDescent="0.25">
      <c r="A788" s="17">
        <f t="shared" si="50"/>
        <v>774</v>
      </c>
      <c r="B788" s="229"/>
      <c r="C788" s="222"/>
      <c r="D788" s="112"/>
      <c r="E788" s="128"/>
      <c r="F788" s="129"/>
      <c r="G788" s="130"/>
      <c r="H788" s="131"/>
      <c r="I788" s="132"/>
      <c r="J788" s="108"/>
      <c r="K788" s="133"/>
      <c r="L788" s="134"/>
      <c r="M788" s="334"/>
      <c r="N788" s="343"/>
      <c r="O788" s="135"/>
      <c r="P788" s="82"/>
      <c r="Q788" s="135"/>
      <c r="R788" s="82"/>
      <c r="S788" s="299"/>
      <c r="T788" s="305"/>
      <c r="U788" s="298"/>
      <c r="V788" s="304"/>
      <c r="W788" s="249"/>
      <c r="X788" s="344"/>
      <c r="Y788" s="337"/>
      <c r="Z788" s="33"/>
      <c r="AA788" s="83"/>
      <c r="AB788" s="33"/>
      <c r="AC788" s="83"/>
      <c r="AD788" s="33"/>
      <c r="AE788" s="83"/>
      <c r="AF788" s="33"/>
      <c r="AG788" s="244"/>
      <c r="AH788" s="83"/>
      <c r="AI788" s="246"/>
      <c r="AJ788" s="102"/>
      <c r="AK788" s="92"/>
      <c r="AL788" s="91"/>
      <c r="AM788" s="92"/>
      <c r="AN788" s="351"/>
      <c r="AO788" s="197">
        <f t="shared" si="51"/>
        <v>0</v>
      </c>
      <c r="AP788" s="91"/>
      <c r="AQ788" s="217"/>
      <c r="AR788" s="103"/>
      <c r="AS788" s="264"/>
      <c r="AT788" s="94"/>
      <c r="AU788" s="84"/>
      <c r="AV788" s="136"/>
      <c r="AW788" s="77"/>
      <c r="AX788" s="137"/>
      <c r="AY788" s="138"/>
      <c r="AZ788" s="220">
        <f t="shared" si="48"/>
        <v>0</v>
      </c>
      <c r="BA788" s="220">
        <f t="shared" si="49"/>
        <v>0</v>
      </c>
    </row>
    <row r="789" spans="1:53" ht="50.1" customHeight="1" x14ac:dyDescent="0.25">
      <c r="A789" s="17">
        <f t="shared" si="50"/>
        <v>775</v>
      </c>
      <c r="B789" s="228"/>
      <c r="C789" s="221"/>
      <c r="D789" s="88"/>
      <c r="E789" s="100"/>
      <c r="F789" s="95"/>
      <c r="G789" s="114"/>
      <c r="H789" s="96"/>
      <c r="I789" s="97"/>
      <c r="J789" s="98"/>
      <c r="K789" s="101"/>
      <c r="L789" s="124"/>
      <c r="M789" s="333"/>
      <c r="N789" s="341"/>
      <c r="O789" s="82"/>
      <c r="P789" s="93"/>
      <c r="Q789" s="82"/>
      <c r="R789" s="93"/>
      <c r="S789" s="298"/>
      <c r="T789" s="304"/>
      <c r="U789" s="307"/>
      <c r="V789" s="309"/>
      <c r="W789" s="248"/>
      <c r="X789" s="342"/>
      <c r="Y789" s="336"/>
      <c r="Z789" s="123"/>
      <c r="AA789" s="33"/>
      <c r="AB789" s="123"/>
      <c r="AC789" s="33"/>
      <c r="AD789" s="123"/>
      <c r="AE789" s="33"/>
      <c r="AF789" s="123"/>
      <c r="AG789" s="243"/>
      <c r="AH789" s="33"/>
      <c r="AI789" s="245"/>
      <c r="AJ789" s="125"/>
      <c r="AK789" s="91"/>
      <c r="AL789" s="126"/>
      <c r="AM789" s="91"/>
      <c r="AN789" s="91"/>
      <c r="AO789" s="197">
        <f t="shared" si="51"/>
        <v>0</v>
      </c>
      <c r="AP789" s="126"/>
      <c r="AQ789" s="216"/>
      <c r="AR789" s="127"/>
      <c r="AS789" s="269"/>
      <c r="AT789" s="94"/>
      <c r="AU789" s="84"/>
      <c r="AV789" s="80"/>
      <c r="AW789" s="81"/>
      <c r="AX789" s="77"/>
      <c r="AY789" s="107"/>
      <c r="AZ789" s="220">
        <f t="shared" si="48"/>
        <v>0</v>
      </c>
      <c r="BA789" s="220">
        <f t="shared" si="49"/>
        <v>0</v>
      </c>
    </row>
    <row r="790" spans="1:53" ht="50.1" customHeight="1" x14ac:dyDescent="0.25">
      <c r="A790" s="17">
        <f t="shared" si="50"/>
        <v>776</v>
      </c>
      <c r="B790" s="229"/>
      <c r="C790" s="222"/>
      <c r="D790" s="112"/>
      <c r="E790" s="128"/>
      <c r="F790" s="129"/>
      <c r="G790" s="130"/>
      <c r="H790" s="131"/>
      <c r="I790" s="132"/>
      <c r="J790" s="108"/>
      <c r="K790" s="133"/>
      <c r="L790" s="134"/>
      <c r="M790" s="334"/>
      <c r="N790" s="343"/>
      <c r="O790" s="135"/>
      <c r="P790" s="82"/>
      <c r="Q790" s="135"/>
      <c r="R790" s="82"/>
      <c r="S790" s="299"/>
      <c r="T790" s="305"/>
      <c r="U790" s="298"/>
      <c r="V790" s="304"/>
      <c r="W790" s="249"/>
      <c r="X790" s="344"/>
      <c r="Y790" s="337"/>
      <c r="Z790" s="33"/>
      <c r="AA790" s="83"/>
      <c r="AB790" s="33"/>
      <c r="AC790" s="83"/>
      <c r="AD790" s="33"/>
      <c r="AE790" s="83"/>
      <c r="AF790" s="33"/>
      <c r="AG790" s="244"/>
      <c r="AH790" s="83"/>
      <c r="AI790" s="246"/>
      <c r="AJ790" s="102"/>
      <c r="AK790" s="92"/>
      <c r="AL790" s="91"/>
      <c r="AM790" s="92"/>
      <c r="AN790" s="351"/>
      <c r="AO790" s="197">
        <f t="shared" si="51"/>
        <v>0</v>
      </c>
      <c r="AP790" s="91"/>
      <c r="AQ790" s="217"/>
      <c r="AR790" s="103"/>
      <c r="AS790" s="264"/>
      <c r="AT790" s="94"/>
      <c r="AU790" s="84"/>
      <c r="AV790" s="136"/>
      <c r="AW790" s="77"/>
      <c r="AX790" s="137"/>
      <c r="AY790" s="138"/>
      <c r="AZ790" s="220">
        <f t="shared" si="48"/>
        <v>0</v>
      </c>
      <c r="BA790" s="220">
        <f t="shared" si="49"/>
        <v>0</v>
      </c>
    </row>
    <row r="791" spans="1:53" ht="50.1" customHeight="1" x14ac:dyDescent="0.25">
      <c r="A791" s="17">
        <f t="shared" si="50"/>
        <v>777</v>
      </c>
      <c r="B791" s="228"/>
      <c r="C791" s="221"/>
      <c r="D791" s="88"/>
      <c r="E791" s="100"/>
      <c r="F791" s="95"/>
      <c r="G791" s="114"/>
      <c r="H791" s="96"/>
      <c r="I791" s="97"/>
      <c r="J791" s="98"/>
      <c r="K791" s="101"/>
      <c r="L791" s="124"/>
      <c r="M791" s="333"/>
      <c r="N791" s="341"/>
      <c r="O791" s="82"/>
      <c r="P791" s="93"/>
      <c r="Q791" s="82"/>
      <c r="R791" s="93"/>
      <c r="S791" s="298"/>
      <c r="T791" s="304"/>
      <c r="U791" s="307"/>
      <c r="V791" s="309"/>
      <c r="W791" s="248"/>
      <c r="X791" s="342"/>
      <c r="Y791" s="336"/>
      <c r="Z791" s="123"/>
      <c r="AA791" s="33"/>
      <c r="AB791" s="123"/>
      <c r="AC791" s="33"/>
      <c r="AD791" s="123"/>
      <c r="AE791" s="33"/>
      <c r="AF791" s="123"/>
      <c r="AG791" s="243"/>
      <c r="AH791" s="33"/>
      <c r="AI791" s="245"/>
      <c r="AJ791" s="125"/>
      <c r="AK791" s="91"/>
      <c r="AL791" s="126"/>
      <c r="AM791" s="91"/>
      <c r="AN791" s="91"/>
      <c r="AO791" s="197">
        <f t="shared" si="51"/>
        <v>0</v>
      </c>
      <c r="AP791" s="126"/>
      <c r="AQ791" s="216"/>
      <c r="AR791" s="127"/>
      <c r="AS791" s="269"/>
      <c r="AT791" s="94"/>
      <c r="AU791" s="84"/>
      <c r="AV791" s="80"/>
      <c r="AW791" s="81"/>
      <c r="AX791" s="77"/>
      <c r="AY791" s="107"/>
      <c r="AZ791" s="220">
        <f t="shared" si="48"/>
        <v>0</v>
      </c>
      <c r="BA791" s="220">
        <f t="shared" si="49"/>
        <v>0</v>
      </c>
    </row>
    <row r="792" spans="1:53" ht="50.1" customHeight="1" x14ac:dyDescent="0.25">
      <c r="A792" s="17">
        <f t="shared" si="50"/>
        <v>778</v>
      </c>
      <c r="B792" s="229"/>
      <c r="C792" s="222"/>
      <c r="D792" s="112"/>
      <c r="E792" s="128"/>
      <c r="F792" s="129"/>
      <c r="G792" s="130"/>
      <c r="H792" s="131"/>
      <c r="I792" s="132"/>
      <c r="J792" s="108"/>
      <c r="K792" s="133"/>
      <c r="L792" s="134"/>
      <c r="M792" s="334"/>
      <c r="N792" s="343"/>
      <c r="O792" s="135"/>
      <c r="P792" s="82"/>
      <c r="Q792" s="135"/>
      <c r="R792" s="82"/>
      <c r="S792" s="299"/>
      <c r="T792" s="305"/>
      <c r="U792" s="298"/>
      <c r="V792" s="304"/>
      <c r="W792" s="249"/>
      <c r="X792" s="344"/>
      <c r="Y792" s="337"/>
      <c r="Z792" s="33"/>
      <c r="AA792" s="83"/>
      <c r="AB792" s="33"/>
      <c r="AC792" s="83"/>
      <c r="AD792" s="33"/>
      <c r="AE792" s="83"/>
      <c r="AF792" s="33"/>
      <c r="AG792" s="244"/>
      <c r="AH792" s="83"/>
      <c r="AI792" s="246"/>
      <c r="AJ792" s="102"/>
      <c r="AK792" s="92"/>
      <c r="AL792" s="91"/>
      <c r="AM792" s="92"/>
      <c r="AN792" s="351"/>
      <c r="AO792" s="197">
        <f t="shared" si="51"/>
        <v>0</v>
      </c>
      <c r="AP792" s="91"/>
      <c r="AQ792" s="217"/>
      <c r="AR792" s="103"/>
      <c r="AS792" s="264"/>
      <c r="AT792" s="94"/>
      <c r="AU792" s="84"/>
      <c r="AV792" s="136"/>
      <c r="AW792" s="77"/>
      <c r="AX792" s="137"/>
      <c r="AY792" s="138"/>
      <c r="AZ792" s="220">
        <f t="shared" si="48"/>
        <v>0</v>
      </c>
      <c r="BA792" s="220">
        <f t="shared" si="49"/>
        <v>0</v>
      </c>
    </row>
    <row r="793" spans="1:53" ht="50.1" customHeight="1" x14ac:dyDescent="0.25">
      <c r="A793" s="17">
        <f t="shared" si="50"/>
        <v>779</v>
      </c>
      <c r="B793" s="228"/>
      <c r="C793" s="221"/>
      <c r="D793" s="88"/>
      <c r="E793" s="100"/>
      <c r="F793" s="95"/>
      <c r="G793" s="114"/>
      <c r="H793" s="96"/>
      <c r="I793" s="97"/>
      <c r="J793" s="98"/>
      <c r="K793" s="101"/>
      <c r="L793" s="124"/>
      <c r="M793" s="333"/>
      <c r="N793" s="341"/>
      <c r="O793" s="82"/>
      <c r="P793" s="93"/>
      <c r="Q793" s="82"/>
      <c r="R793" s="93"/>
      <c r="S793" s="298"/>
      <c r="T793" s="304"/>
      <c r="U793" s="307"/>
      <c r="V793" s="309"/>
      <c r="W793" s="248"/>
      <c r="X793" s="342"/>
      <c r="Y793" s="336"/>
      <c r="Z793" s="123"/>
      <c r="AA793" s="33"/>
      <c r="AB793" s="123"/>
      <c r="AC793" s="33"/>
      <c r="AD793" s="123"/>
      <c r="AE793" s="33"/>
      <c r="AF793" s="123"/>
      <c r="AG793" s="243"/>
      <c r="AH793" s="33"/>
      <c r="AI793" s="245"/>
      <c r="AJ793" s="125"/>
      <c r="AK793" s="91"/>
      <c r="AL793" s="126"/>
      <c r="AM793" s="91"/>
      <c r="AN793" s="91"/>
      <c r="AO793" s="197">
        <f t="shared" si="51"/>
        <v>0</v>
      </c>
      <c r="AP793" s="126"/>
      <c r="AQ793" s="216"/>
      <c r="AR793" s="127"/>
      <c r="AS793" s="269"/>
      <c r="AT793" s="94"/>
      <c r="AU793" s="84"/>
      <c r="AV793" s="80"/>
      <c r="AW793" s="81"/>
      <c r="AX793" s="77"/>
      <c r="AY793" s="107"/>
      <c r="AZ793" s="220">
        <f t="shared" si="48"/>
        <v>0</v>
      </c>
      <c r="BA793" s="220">
        <f t="shared" si="49"/>
        <v>0</v>
      </c>
    </row>
    <row r="794" spans="1:53" ht="50.1" customHeight="1" x14ac:dyDescent="0.25">
      <c r="A794" s="17">
        <f t="shared" si="50"/>
        <v>780</v>
      </c>
      <c r="B794" s="229"/>
      <c r="C794" s="222"/>
      <c r="D794" s="112"/>
      <c r="E794" s="128"/>
      <c r="F794" s="129"/>
      <c r="G794" s="130"/>
      <c r="H794" s="131"/>
      <c r="I794" s="132"/>
      <c r="J794" s="108"/>
      <c r="K794" s="133"/>
      <c r="L794" s="134"/>
      <c r="M794" s="334"/>
      <c r="N794" s="343"/>
      <c r="O794" s="135"/>
      <c r="P794" s="82"/>
      <c r="Q794" s="135"/>
      <c r="R794" s="82"/>
      <c r="S794" s="299"/>
      <c r="T794" s="305"/>
      <c r="U794" s="298"/>
      <c r="V794" s="304"/>
      <c r="W794" s="249"/>
      <c r="X794" s="344"/>
      <c r="Y794" s="337"/>
      <c r="Z794" s="33"/>
      <c r="AA794" s="83"/>
      <c r="AB794" s="33"/>
      <c r="AC794" s="83"/>
      <c r="AD794" s="33"/>
      <c r="AE794" s="83"/>
      <c r="AF794" s="33"/>
      <c r="AG794" s="244"/>
      <c r="AH794" s="83"/>
      <c r="AI794" s="246"/>
      <c r="AJ794" s="102"/>
      <c r="AK794" s="92"/>
      <c r="AL794" s="91"/>
      <c r="AM794" s="92"/>
      <c r="AN794" s="351"/>
      <c r="AO794" s="197">
        <f t="shared" si="51"/>
        <v>0</v>
      </c>
      <c r="AP794" s="91"/>
      <c r="AQ794" s="217"/>
      <c r="AR794" s="103"/>
      <c r="AS794" s="264"/>
      <c r="AT794" s="94"/>
      <c r="AU794" s="84"/>
      <c r="AV794" s="136"/>
      <c r="AW794" s="77"/>
      <c r="AX794" s="137"/>
      <c r="AY794" s="138"/>
      <c r="AZ794" s="220">
        <f t="shared" si="48"/>
        <v>0</v>
      </c>
      <c r="BA794" s="220">
        <f t="shared" si="49"/>
        <v>0</v>
      </c>
    </row>
    <row r="795" spans="1:53" ht="50.1" customHeight="1" x14ac:dyDescent="0.25">
      <c r="A795" s="17">
        <f t="shared" si="50"/>
        <v>781</v>
      </c>
      <c r="B795" s="228"/>
      <c r="C795" s="221"/>
      <c r="D795" s="88"/>
      <c r="E795" s="100"/>
      <c r="F795" s="95"/>
      <c r="G795" s="114"/>
      <c r="H795" s="96"/>
      <c r="I795" s="97"/>
      <c r="J795" s="98"/>
      <c r="K795" s="101"/>
      <c r="L795" s="124"/>
      <c r="M795" s="333"/>
      <c r="N795" s="341"/>
      <c r="O795" s="82"/>
      <c r="P795" s="93"/>
      <c r="Q795" s="82"/>
      <c r="R795" s="93"/>
      <c r="S795" s="298"/>
      <c r="T795" s="304"/>
      <c r="U795" s="307"/>
      <c r="V795" s="309"/>
      <c r="W795" s="248"/>
      <c r="X795" s="342"/>
      <c r="Y795" s="336"/>
      <c r="Z795" s="123"/>
      <c r="AA795" s="33"/>
      <c r="AB795" s="123"/>
      <c r="AC795" s="33"/>
      <c r="AD795" s="123"/>
      <c r="AE795" s="33"/>
      <c r="AF795" s="123"/>
      <c r="AG795" s="243"/>
      <c r="AH795" s="33"/>
      <c r="AI795" s="245"/>
      <c r="AJ795" s="125"/>
      <c r="AK795" s="91"/>
      <c r="AL795" s="126"/>
      <c r="AM795" s="91"/>
      <c r="AN795" s="91"/>
      <c r="AO795" s="197">
        <f t="shared" si="51"/>
        <v>0</v>
      </c>
      <c r="AP795" s="126"/>
      <c r="AQ795" s="216"/>
      <c r="AR795" s="127"/>
      <c r="AS795" s="269"/>
      <c r="AT795" s="94"/>
      <c r="AU795" s="84"/>
      <c r="AV795" s="80"/>
      <c r="AW795" s="81"/>
      <c r="AX795" s="77"/>
      <c r="AY795" s="107"/>
      <c r="AZ795" s="220">
        <f t="shared" si="48"/>
        <v>0</v>
      </c>
      <c r="BA795" s="220">
        <f t="shared" si="49"/>
        <v>0</v>
      </c>
    </row>
    <row r="796" spans="1:53" ht="50.1" customHeight="1" x14ac:dyDescent="0.25">
      <c r="A796" s="17">
        <f t="shared" si="50"/>
        <v>782</v>
      </c>
      <c r="B796" s="229"/>
      <c r="C796" s="222"/>
      <c r="D796" s="112"/>
      <c r="E796" s="128"/>
      <c r="F796" s="129"/>
      <c r="G796" s="130"/>
      <c r="H796" s="131"/>
      <c r="I796" s="132"/>
      <c r="J796" s="108"/>
      <c r="K796" s="133"/>
      <c r="L796" s="134"/>
      <c r="M796" s="334"/>
      <c r="N796" s="343"/>
      <c r="O796" s="135"/>
      <c r="P796" s="82"/>
      <c r="Q796" s="135"/>
      <c r="R796" s="82"/>
      <c r="S796" s="299"/>
      <c r="T796" s="305"/>
      <c r="U796" s="298"/>
      <c r="V796" s="304"/>
      <c r="W796" s="249"/>
      <c r="X796" s="344"/>
      <c r="Y796" s="337"/>
      <c r="Z796" s="33"/>
      <c r="AA796" s="83"/>
      <c r="AB796" s="33"/>
      <c r="AC796" s="83"/>
      <c r="AD796" s="33"/>
      <c r="AE796" s="83"/>
      <c r="AF796" s="33"/>
      <c r="AG796" s="244"/>
      <c r="AH796" s="83"/>
      <c r="AI796" s="246"/>
      <c r="AJ796" s="102"/>
      <c r="AK796" s="92"/>
      <c r="AL796" s="91"/>
      <c r="AM796" s="92"/>
      <c r="AN796" s="351"/>
      <c r="AO796" s="197">
        <f t="shared" si="51"/>
        <v>0</v>
      </c>
      <c r="AP796" s="91"/>
      <c r="AQ796" s="217"/>
      <c r="AR796" s="103"/>
      <c r="AS796" s="264"/>
      <c r="AT796" s="94"/>
      <c r="AU796" s="84"/>
      <c r="AV796" s="136"/>
      <c r="AW796" s="77"/>
      <c r="AX796" s="137"/>
      <c r="AY796" s="138"/>
      <c r="AZ796" s="220">
        <f t="shared" si="48"/>
        <v>0</v>
      </c>
      <c r="BA796" s="220">
        <f t="shared" si="49"/>
        <v>0</v>
      </c>
    </row>
    <row r="797" spans="1:53" ht="50.1" customHeight="1" x14ac:dyDescent="0.25">
      <c r="A797" s="17">
        <f t="shared" si="50"/>
        <v>783</v>
      </c>
      <c r="B797" s="228"/>
      <c r="C797" s="221"/>
      <c r="D797" s="88"/>
      <c r="E797" s="100"/>
      <c r="F797" s="95"/>
      <c r="G797" s="114"/>
      <c r="H797" s="96"/>
      <c r="I797" s="97"/>
      <c r="J797" s="98"/>
      <c r="K797" s="101"/>
      <c r="L797" s="124"/>
      <c r="M797" s="333"/>
      <c r="N797" s="341"/>
      <c r="O797" s="82"/>
      <c r="P797" s="93"/>
      <c r="Q797" s="82"/>
      <c r="R797" s="93"/>
      <c r="S797" s="298"/>
      <c r="T797" s="304"/>
      <c r="U797" s="307"/>
      <c r="V797" s="309"/>
      <c r="W797" s="248"/>
      <c r="X797" s="342"/>
      <c r="Y797" s="336"/>
      <c r="Z797" s="123"/>
      <c r="AA797" s="33"/>
      <c r="AB797" s="123"/>
      <c r="AC797" s="33"/>
      <c r="AD797" s="123"/>
      <c r="AE797" s="33"/>
      <c r="AF797" s="123"/>
      <c r="AG797" s="243"/>
      <c r="AH797" s="33"/>
      <c r="AI797" s="245"/>
      <c r="AJ797" s="125"/>
      <c r="AK797" s="91"/>
      <c r="AL797" s="126"/>
      <c r="AM797" s="91"/>
      <c r="AN797" s="91"/>
      <c r="AO797" s="197">
        <f t="shared" si="51"/>
        <v>0</v>
      </c>
      <c r="AP797" s="126"/>
      <c r="AQ797" s="216"/>
      <c r="AR797" s="127"/>
      <c r="AS797" s="269"/>
      <c r="AT797" s="94"/>
      <c r="AU797" s="84"/>
      <c r="AV797" s="80"/>
      <c r="AW797" s="81"/>
      <c r="AX797" s="77"/>
      <c r="AY797" s="107"/>
      <c r="AZ797" s="220">
        <f t="shared" si="48"/>
        <v>0</v>
      </c>
      <c r="BA797" s="220">
        <f t="shared" si="49"/>
        <v>0</v>
      </c>
    </row>
    <row r="798" spans="1:53" ht="50.1" customHeight="1" x14ac:dyDescent="0.25">
      <c r="A798" s="17">
        <f t="shared" si="50"/>
        <v>784</v>
      </c>
      <c r="B798" s="229"/>
      <c r="C798" s="222"/>
      <c r="D798" s="112"/>
      <c r="E798" s="128"/>
      <c r="F798" s="129"/>
      <c r="G798" s="130"/>
      <c r="H798" s="131"/>
      <c r="I798" s="132"/>
      <c r="J798" s="108"/>
      <c r="K798" s="133"/>
      <c r="L798" s="134"/>
      <c r="M798" s="334"/>
      <c r="N798" s="343"/>
      <c r="O798" s="135"/>
      <c r="P798" s="82"/>
      <c r="Q798" s="135"/>
      <c r="R798" s="82"/>
      <c r="S798" s="299"/>
      <c r="T798" s="305"/>
      <c r="U798" s="298"/>
      <c r="V798" s="304"/>
      <c r="W798" s="249"/>
      <c r="X798" s="344"/>
      <c r="Y798" s="337"/>
      <c r="Z798" s="33"/>
      <c r="AA798" s="83"/>
      <c r="AB798" s="33"/>
      <c r="AC798" s="83"/>
      <c r="AD798" s="33"/>
      <c r="AE798" s="83"/>
      <c r="AF798" s="33"/>
      <c r="AG798" s="244"/>
      <c r="AH798" s="83"/>
      <c r="AI798" s="246"/>
      <c r="AJ798" s="102"/>
      <c r="AK798" s="92"/>
      <c r="AL798" s="91"/>
      <c r="AM798" s="92"/>
      <c r="AN798" s="351"/>
      <c r="AO798" s="197">
        <f t="shared" si="51"/>
        <v>0</v>
      </c>
      <c r="AP798" s="91"/>
      <c r="AQ798" s="217"/>
      <c r="AR798" s="103"/>
      <c r="AS798" s="264"/>
      <c r="AT798" s="94"/>
      <c r="AU798" s="84"/>
      <c r="AV798" s="136"/>
      <c r="AW798" s="77"/>
      <c r="AX798" s="137"/>
      <c r="AY798" s="138"/>
      <c r="AZ798" s="220">
        <f t="shared" si="48"/>
        <v>0</v>
      </c>
      <c r="BA798" s="220">
        <f t="shared" si="49"/>
        <v>0</v>
      </c>
    </row>
    <row r="799" spans="1:53" ht="50.1" customHeight="1" x14ac:dyDescent="0.25">
      <c r="A799" s="17">
        <f t="shared" si="50"/>
        <v>785</v>
      </c>
      <c r="B799" s="228"/>
      <c r="C799" s="221"/>
      <c r="D799" s="88"/>
      <c r="E799" s="100"/>
      <c r="F799" s="95"/>
      <c r="G799" s="114"/>
      <c r="H799" s="96"/>
      <c r="I799" s="97"/>
      <c r="J799" s="98"/>
      <c r="K799" s="101"/>
      <c r="L799" s="124"/>
      <c r="M799" s="333"/>
      <c r="N799" s="341"/>
      <c r="O799" s="82"/>
      <c r="P799" s="93"/>
      <c r="Q799" s="82"/>
      <c r="R799" s="93"/>
      <c r="S799" s="298"/>
      <c r="T799" s="304"/>
      <c r="U799" s="307"/>
      <c r="V799" s="309"/>
      <c r="W799" s="248"/>
      <c r="X799" s="342"/>
      <c r="Y799" s="336"/>
      <c r="Z799" s="123"/>
      <c r="AA799" s="33"/>
      <c r="AB799" s="123"/>
      <c r="AC799" s="33"/>
      <c r="AD799" s="123"/>
      <c r="AE799" s="33"/>
      <c r="AF799" s="123"/>
      <c r="AG799" s="243"/>
      <c r="AH799" s="33"/>
      <c r="AI799" s="245"/>
      <c r="AJ799" s="125"/>
      <c r="AK799" s="91"/>
      <c r="AL799" s="126"/>
      <c r="AM799" s="91"/>
      <c r="AN799" s="91"/>
      <c r="AO799" s="197">
        <f t="shared" si="51"/>
        <v>0</v>
      </c>
      <c r="AP799" s="126"/>
      <c r="AQ799" s="216"/>
      <c r="AR799" s="127"/>
      <c r="AS799" s="269"/>
      <c r="AT799" s="94"/>
      <c r="AU799" s="84"/>
      <c r="AV799" s="80"/>
      <c r="AW799" s="81"/>
      <c r="AX799" s="77"/>
      <c r="AY799" s="107"/>
      <c r="AZ799" s="220">
        <f t="shared" si="48"/>
        <v>0</v>
      </c>
      <c r="BA799" s="220">
        <f t="shared" si="49"/>
        <v>0</v>
      </c>
    </row>
    <row r="800" spans="1:53" ht="50.1" customHeight="1" x14ac:dyDescent="0.25">
      <c r="A800" s="17">
        <f t="shared" si="50"/>
        <v>786</v>
      </c>
      <c r="B800" s="229"/>
      <c r="C800" s="222"/>
      <c r="D800" s="112"/>
      <c r="E800" s="128"/>
      <c r="F800" s="129"/>
      <c r="G800" s="130"/>
      <c r="H800" s="131"/>
      <c r="I800" s="132"/>
      <c r="J800" s="108"/>
      <c r="K800" s="133"/>
      <c r="L800" s="134"/>
      <c r="M800" s="334"/>
      <c r="N800" s="343"/>
      <c r="O800" s="135"/>
      <c r="P800" s="82"/>
      <c r="Q800" s="135"/>
      <c r="R800" s="82"/>
      <c r="S800" s="299"/>
      <c r="T800" s="305"/>
      <c r="U800" s="298"/>
      <c r="V800" s="304"/>
      <c r="W800" s="249"/>
      <c r="X800" s="344"/>
      <c r="Y800" s="337"/>
      <c r="Z800" s="33"/>
      <c r="AA800" s="83"/>
      <c r="AB800" s="33"/>
      <c r="AC800" s="83"/>
      <c r="AD800" s="33"/>
      <c r="AE800" s="83"/>
      <c r="AF800" s="33"/>
      <c r="AG800" s="244"/>
      <c r="AH800" s="83"/>
      <c r="AI800" s="246"/>
      <c r="AJ800" s="102"/>
      <c r="AK800" s="92"/>
      <c r="AL800" s="91"/>
      <c r="AM800" s="92"/>
      <c r="AN800" s="351"/>
      <c r="AO800" s="197">
        <f t="shared" si="51"/>
        <v>0</v>
      </c>
      <c r="AP800" s="91"/>
      <c r="AQ800" s="217"/>
      <c r="AR800" s="103"/>
      <c r="AS800" s="264"/>
      <c r="AT800" s="94"/>
      <c r="AU800" s="84"/>
      <c r="AV800" s="136"/>
      <c r="AW800" s="77"/>
      <c r="AX800" s="137"/>
      <c r="AY800" s="138"/>
      <c r="AZ800" s="220">
        <f t="shared" si="48"/>
        <v>0</v>
      </c>
      <c r="BA800" s="220">
        <f t="shared" si="49"/>
        <v>0</v>
      </c>
    </row>
    <row r="801" spans="1:53" ht="50.1" customHeight="1" x14ac:dyDescent="0.25">
      <c r="A801" s="17">
        <f t="shared" si="50"/>
        <v>787</v>
      </c>
      <c r="B801" s="228"/>
      <c r="C801" s="221"/>
      <c r="D801" s="88"/>
      <c r="E801" s="100"/>
      <c r="F801" s="95"/>
      <c r="G801" s="114"/>
      <c r="H801" s="96"/>
      <c r="I801" s="97"/>
      <c r="J801" s="98"/>
      <c r="K801" s="101"/>
      <c r="L801" s="124"/>
      <c r="M801" s="333"/>
      <c r="N801" s="341"/>
      <c r="O801" s="82"/>
      <c r="P801" s="93"/>
      <c r="Q801" s="82"/>
      <c r="R801" s="93"/>
      <c r="S801" s="298"/>
      <c r="T801" s="304"/>
      <c r="U801" s="307"/>
      <c r="V801" s="309"/>
      <c r="W801" s="248"/>
      <c r="X801" s="342"/>
      <c r="Y801" s="336"/>
      <c r="Z801" s="123"/>
      <c r="AA801" s="33"/>
      <c r="AB801" s="123"/>
      <c r="AC801" s="33"/>
      <c r="AD801" s="123"/>
      <c r="AE801" s="33"/>
      <c r="AF801" s="123"/>
      <c r="AG801" s="243"/>
      <c r="AH801" s="33"/>
      <c r="AI801" s="245"/>
      <c r="AJ801" s="125"/>
      <c r="AK801" s="91"/>
      <c r="AL801" s="126"/>
      <c r="AM801" s="91"/>
      <c r="AN801" s="91"/>
      <c r="AO801" s="197">
        <f t="shared" si="51"/>
        <v>0</v>
      </c>
      <c r="AP801" s="126"/>
      <c r="AQ801" s="216"/>
      <c r="AR801" s="127"/>
      <c r="AS801" s="269"/>
      <c r="AT801" s="94"/>
      <c r="AU801" s="84"/>
      <c r="AV801" s="80"/>
      <c r="AW801" s="81"/>
      <c r="AX801" s="77"/>
      <c r="AY801" s="107"/>
      <c r="AZ801" s="220">
        <f t="shared" si="48"/>
        <v>0</v>
      </c>
      <c r="BA801" s="220">
        <f t="shared" si="49"/>
        <v>0</v>
      </c>
    </row>
    <row r="802" spans="1:53" ht="50.1" customHeight="1" x14ac:dyDescent="0.25">
      <c r="A802" s="17">
        <f t="shared" si="50"/>
        <v>788</v>
      </c>
      <c r="B802" s="229"/>
      <c r="C802" s="222"/>
      <c r="D802" s="112"/>
      <c r="E802" s="128"/>
      <c r="F802" s="129"/>
      <c r="G802" s="130"/>
      <c r="H802" s="131"/>
      <c r="I802" s="132"/>
      <c r="J802" s="108"/>
      <c r="K802" s="133"/>
      <c r="L802" s="134"/>
      <c r="M802" s="334"/>
      <c r="N802" s="343"/>
      <c r="O802" s="135"/>
      <c r="P802" s="82"/>
      <c r="Q802" s="135"/>
      <c r="R802" s="82"/>
      <c r="S802" s="299"/>
      <c r="T802" s="305"/>
      <c r="U802" s="298"/>
      <c r="V802" s="304"/>
      <c r="W802" s="249"/>
      <c r="X802" s="344"/>
      <c r="Y802" s="337"/>
      <c r="Z802" s="33"/>
      <c r="AA802" s="83"/>
      <c r="AB802" s="33"/>
      <c r="AC802" s="83"/>
      <c r="AD802" s="33"/>
      <c r="AE802" s="83"/>
      <c r="AF802" s="33"/>
      <c r="AG802" s="244"/>
      <c r="AH802" s="83"/>
      <c r="AI802" s="246"/>
      <c r="AJ802" s="102"/>
      <c r="AK802" s="92"/>
      <c r="AL802" s="91"/>
      <c r="AM802" s="92"/>
      <c r="AN802" s="351"/>
      <c r="AO802" s="197">
        <f t="shared" si="51"/>
        <v>0</v>
      </c>
      <c r="AP802" s="91"/>
      <c r="AQ802" s="217"/>
      <c r="AR802" s="103"/>
      <c r="AS802" s="264"/>
      <c r="AT802" s="94"/>
      <c r="AU802" s="84"/>
      <c r="AV802" s="136"/>
      <c r="AW802" s="77"/>
      <c r="AX802" s="137"/>
      <c r="AY802" s="138"/>
      <c r="AZ802" s="220">
        <f t="shared" si="48"/>
        <v>0</v>
      </c>
      <c r="BA802" s="220">
        <f t="shared" si="49"/>
        <v>0</v>
      </c>
    </row>
    <row r="803" spans="1:53" ht="50.1" customHeight="1" x14ac:dyDescent="0.25">
      <c r="A803" s="17">
        <f t="shared" si="50"/>
        <v>789</v>
      </c>
      <c r="B803" s="228"/>
      <c r="C803" s="221"/>
      <c r="D803" s="88"/>
      <c r="E803" s="100"/>
      <c r="F803" s="95"/>
      <c r="G803" s="114"/>
      <c r="H803" s="96"/>
      <c r="I803" s="97"/>
      <c r="J803" s="98"/>
      <c r="K803" s="101"/>
      <c r="L803" s="124"/>
      <c r="M803" s="333"/>
      <c r="N803" s="346"/>
      <c r="O803" s="82"/>
      <c r="P803" s="93"/>
      <c r="Q803" s="82"/>
      <c r="R803" s="93"/>
      <c r="S803" s="298"/>
      <c r="T803" s="304"/>
      <c r="U803" s="307"/>
      <c r="V803" s="309"/>
      <c r="W803" s="248"/>
      <c r="X803" s="342"/>
      <c r="Y803" s="336"/>
      <c r="Z803" s="123"/>
      <c r="AA803" s="33"/>
      <c r="AB803" s="123"/>
      <c r="AC803" s="33"/>
      <c r="AD803" s="123"/>
      <c r="AE803" s="33"/>
      <c r="AF803" s="123"/>
      <c r="AG803" s="243"/>
      <c r="AH803" s="33"/>
      <c r="AI803" s="245"/>
      <c r="AJ803" s="125"/>
      <c r="AK803" s="91"/>
      <c r="AL803" s="126"/>
      <c r="AM803" s="91"/>
      <c r="AN803" s="91"/>
      <c r="AO803" s="197">
        <f t="shared" si="51"/>
        <v>0</v>
      </c>
      <c r="AP803" s="126"/>
      <c r="AQ803" s="216"/>
      <c r="AR803" s="127"/>
      <c r="AS803" s="269"/>
      <c r="AT803" s="94"/>
      <c r="AU803" s="84"/>
      <c r="AV803" s="80"/>
      <c r="AW803" s="81"/>
      <c r="AX803" s="77"/>
      <c r="AY803" s="107"/>
      <c r="AZ803" s="220">
        <f t="shared" si="48"/>
        <v>0</v>
      </c>
      <c r="BA803" s="220">
        <f t="shared" si="49"/>
        <v>0</v>
      </c>
    </row>
    <row r="804" spans="1:53" ht="50.1" customHeight="1" x14ac:dyDescent="0.25">
      <c r="A804" s="17">
        <f t="shared" si="50"/>
        <v>790</v>
      </c>
      <c r="B804" s="229"/>
      <c r="C804" s="222"/>
      <c r="D804" s="112"/>
      <c r="E804" s="128"/>
      <c r="F804" s="129"/>
      <c r="G804" s="130"/>
      <c r="H804" s="131"/>
      <c r="I804" s="132"/>
      <c r="J804" s="108"/>
      <c r="K804" s="133"/>
      <c r="L804" s="134"/>
      <c r="M804" s="334"/>
      <c r="N804" s="343"/>
      <c r="O804" s="135"/>
      <c r="P804" s="82"/>
      <c r="Q804" s="135"/>
      <c r="R804" s="82"/>
      <c r="S804" s="299"/>
      <c r="T804" s="305"/>
      <c r="U804" s="298"/>
      <c r="V804" s="304"/>
      <c r="W804" s="249"/>
      <c r="X804" s="344"/>
      <c r="Y804" s="337"/>
      <c r="Z804" s="33"/>
      <c r="AA804" s="83"/>
      <c r="AB804" s="33"/>
      <c r="AC804" s="83"/>
      <c r="AD804" s="33"/>
      <c r="AE804" s="83"/>
      <c r="AF804" s="33"/>
      <c r="AG804" s="244"/>
      <c r="AH804" s="83"/>
      <c r="AI804" s="246"/>
      <c r="AJ804" s="102"/>
      <c r="AK804" s="92"/>
      <c r="AL804" s="91"/>
      <c r="AM804" s="92"/>
      <c r="AN804" s="351"/>
      <c r="AO804" s="197">
        <f t="shared" si="51"/>
        <v>0</v>
      </c>
      <c r="AP804" s="91"/>
      <c r="AQ804" s="217"/>
      <c r="AR804" s="103"/>
      <c r="AS804" s="264"/>
      <c r="AT804" s="94"/>
      <c r="AU804" s="84"/>
      <c r="AV804" s="136"/>
      <c r="AW804" s="77"/>
      <c r="AX804" s="137"/>
      <c r="AY804" s="138"/>
      <c r="AZ804" s="220">
        <f t="shared" si="48"/>
        <v>0</v>
      </c>
      <c r="BA804" s="220">
        <f t="shared" si="49"/>
        <v>0</v>
      </c>
    </row>
    <row r="805" spans="1:53" ht="50.1" customHeight="1" x14ac:dyDescent="0.25">
      <c r="A805" s="17">
        <f t="shared" si="50"/>
        <v>791</v>
      </c>
      <c r="B805" s="228"/>
      <c r="C805" s="221"/>
      <c r="D805" s="88"/>
      <c r="E805" s="100"/>
      <c r="F805" s="95"/>
      <c r="G805" s="114"/>
      <c r="H805" s="96"/>
      <c r="I805" s="97"/>
      <c r="J805" s="98"/>
      <c r="K805" s="101"/>
      <c r="L805" s="124"/>
      <c r="M805" s="333"/>
      <c r="N805" s="346"/>
      <c r="O805" s="82"/>
      <c r="P805" s="93"/>
      <c r="Q805" s="82"/>
      <c r="R805" s="93"/>
      <c r="S805" s="298"/>
      <c r="T805" s="304"/>
      <c r="U805" s="307"/>
      <c r="V805" s="309"/>
      <c r="W805" s="248"/>
      <c r="X805" s="342"/>
      <c r="Y805" s="336"/>
      <c r="Z805" s="123"/>
      <c r="AA805" s="33"/>
      <c r="AB805" s="123"/>
      <c r="AC805" s="33"/>
      <c r="AD805" s="123"/>
      <c r="AE805" s="33"/>
      <c r="AF805" s="123"/>
      <c r="AG805" s="243"/>
      <c r="AH805" s="33"/>
      <c r="AI805" s="245"/>
      <c r="AJ805" s="125"/>
      <c r="AK805" s="91"/>
      <c r="AL805" s="126"/>
      <c r="AM805" s="91"/>
      <c r="AN805" s="91"/>
      <c r="AO805" s="197">
        <f t="shared" si="51"/>
        <v>0</v>
      </c>
      <c r="AP805" s="126"/>
      <c r="AQ805" s="216"/>
      <c r="AR805" s="127"/>
      <c r="AS805" s="269"/>
      <c r="AT805" s="94"/>
      <c r="AU805" s="84"/>
      <c r="AV805" s="80"/>
      <c r="AW805" s="81"/>
      <c r="AX805" s="77"/>
      <c r="AY805" s="107"/>
      <c r="AZ805" s="220">
        <f t="shared" si="48"/>
        <v>0</v>
      </c>
      <c r="BA805" s="220">
        <f t="shared" si="49"/>
        <v>0</v>
      </c>
    </row>
    <row r="806" spans="1:53" ht="50.1" customHeight="1" x14ac:dyDescent="0.25">
      <c r="A806" s="17">
        <f t="shared" si="50"/>
        <v>792</v>
      </c>
      <c r="B806" s="229"/>
      <c r="C806" s="222"/>
      <c r="D806" s="112"/>
      <c r="E806" s="128"/>
      <c r="F806" s="129"/>
      <c r="G806" s="130"/>
      <c r="H806" s="131"/>
      <c r="I806" s="132"/>
      <c r="J806" s="108"/>
      <c r="K806" s="133"/>
      <c r="L806" s="134"/>
      <c r="M806" s="334"/>
      <c r="N806" s="343"/>
      <c r="O806" s="135"/>
      <c r="P806" s="82"/>
      <c r="Q806" s="135"/>
      <c r="R806" s="82"/>
      <c r="S806" s="299"/>
      <c r="T806" s="305"/>
      <c r="U806" s="298"/>
      <c r="V806" s="304"/>
      <c r="W806" s="249"/>
      <c r="X806" s="344"/>
      <c r="Y806" s="337"/>
      <c r="Z806" s="33"/>
      <c r="AA806" s="83"/>
      <c r="AB806" s="33"/>
      <c r="AC806" s="83"/>
      <c r="AD806" s="33"/>
      <c r="AE806" s="83"/>
      <c r="AF806" s="33"/>
      <c r="AG806" s="244"/>
      <c r="AH806" s="83"/>
      <c r="AI806" s="246"/>
      <c r="AJ806" s="102"/>
      <c r="AK806" s="92"/>
      <c r="AL806" s="91"/>
      <c r="AM806" s="92"/>
      <c r="AN806" s="351"/>
      <c r="AO806" s="197">
        <f t="shared" si="51"/>
        <v>0</v>
      </c>
      <c r="AP806" s="91"/>
      <c r="AQ806" s="217"/>
      <c r="AR806" s="103"/>
      <c r="AS806" s="264"/>
      <c r="AT806" s="94"/>
      <c r="AU806" s="84"/>
      <c r="AV806" s="136"/>
      <c r="AW806" s="77"/>
      <c r="AX806" s="137"/>
      <c r="AY806" s="138"/>
      <c r="AZ806" s="220">
        <f t="shared" si="48"/>
        <v>0</v>
      </c>
      <c r="BA806" s="220">
        <f t="shared" si="49"/>
        <v>0</v>
      </c>
    </row>
    <row r="807" spans="1:53" ht="50.1" customHeight="1" x14ac:dyDescent="0.25">
      <c r="A807" s="17">
        <f t="shared" si="50"/>
        <v>793</v>
      </c>
      <c r="B807" s="228"/>
      <c r="C807" s="221"/>
      <c r="D807" s="88"/>
      <c r="E807" s="100"/>
      <c r="F807" s="95"/>
      <c r="G807" s="114"/>
      <c r="H807" s="96"/>
      <c r="I807" s="97"/>
      <c r="J807" s="98"/>
      <c r="K807" s="101"/>
      <c r="L807" s="124"/>
      <c r="M807" s="333"/>
      <c r="N807" s="341"/>
      <c r="O807" s="82"/>
      <c r="P807" s="93"/>
      <c r="Q807" s="82"/>
      <c r="R807" s="93"/>
      <c r="S807" s="298"/>
      <c r="T807" s="304"/>
      <c r="U807" s="307"/>
      <c r="V807" s="309"/>
      <c r="W807" s="248"/>
      <c r="X807" s="342"/>
      <c r="Y807" s="336"/>
      <c r="Z807" s="123"/>
      <c r="AA807" s="33"/>
      <c r="AB807" s="123"/>
      <c r="AC807" s="33"/>
      <c r="AD807" s="123"/>
      <c r="AE807" s="33"/>
      <c r="AF807" s="123"/>
      <c r="AG807" s="243"/>
      <c r="AH807" s="33"/>
      <c r="AI807" s="245"/>
      <c r="AJ807" s="125"/>
      <c r="AK807" s="91"/>
      <c r="AL807" s="126"/>
      <c r="AM807" s="91"/>
      <c r="AN807" s="91"/>
      <c r="AO807" s="197">
        <f t="shared" si="51"/>
        <v>0</v>
      </c>
      <c r="AP807" s="126"/>
      <c r="AQ807" s="216"/>
      <c r="AR807" s="127"/>
      <c r="AS807" s="269"/>
      <c r="AT807" s="94"/>
      <c r="AU807" s="84"/>
      <c r="AV807" s="80"/>
      <c r="AW807" s="81"/>
      <c r="AX807" s="77"/>
      <c r="AY807" s="107"/>
      <c r="AZ807" s="220">
        <f t="shared" si="48"/>
        <v>0</v>
      </c>
      <c r="BA807" s="220">
        <f t="shared" si="49"/>
        <v>0</v>
      </c>
    </row>
    <row r="808" spans="1:53" ht="50.1" customHeight="1" x14ac:dyDescent="0.25">
      <c r="A808" s="17">
        <f t="shared" si="50"/>
        <v>794</v>
      </c>
      <c r="B808" s="229"/>
      <c r="C808" s="222"/>
      <c r="D808" s="112"/>
      <c r="E808" s="128"/>
      <c r="F808" s="129"/>
      <c r="G808" s="130"/>
      <c r="H808" s="131"/>
      <c r="I808" s="132"/>
      <c r="J808" s="108"/>
      <c r="K808" s="133"/>
      <c r="L808" s="134"/>
      <c r="M808" s="334"/>
      <c r="N808" s="343"/>
      <c r="O808" s="135"/>
      <c r="P808" s="82"/>
      <c r="Q808" s="135"/>
      <c r="R808" s="82"/>
      <c r="S808" s="299"/>
      <c r="T808" s="305"/>
      <c r="U808" s="298"/>
      <c r="V808" s="304"/>
      <c r="W808" s="249"/>
      <c r="X808" s="344"/>
      <c r="Y808" s="337"/>
      <c r="Z808" s="33"/>
      <c r="AA808" s="83"/>
      <c r="AB808" s="33"/>
      <c r="AC808" s="83"/>
      <c r="AD808" s="33"/>
      <c r="AE808" s="83"/>
      <c r="AF808" s="33"/>
      <c r="AG808" s="244"/>
      <c r="AH808" s="83"/>
      <c r="AI808" s="246"/>
      <c r="AJ808" s="102"/>
      <c r="AK808" s="92"/>
      <c r="AL808" s="91"/>
      <c r="AM808" s="92"/>
      <c r="AN808" s="351"/>
      <c r="AO808" s="197">
        <f t="shared" si="51"/>
        <v>0</v>
      </c>
      <c r="AP808" s="91"/>
      <c r="AQ808" s="217"/>
      <c r="AR808" s="103"/>
      <c r="AS808" s="264"/>
      <c r="AT808" s="94"/>
      <c r="AU808" s="84"/>
      <c r="AV808" s="136"/>
      <c r="AW808" s="77"/>
      <c r="AX808" s="137"/>
      <c r="AY808" s="138"/>
      <c r="AZ808" s="220">
        <f t="shared" si="48"/>
        <v>0</v>
      </c>
      <c r="BA808" s="220">
        <f t="shared" si="49"/>
        <v>0</v>
      </c>
    </row>
    <row r="809" spans="1:53" ht="50.1" customHeight="1" x14ac:dyDescent="0.25">
      <c r="A809" s="17">
        <f t="shared" si="50"/>
        <v>795</v>
      </c>
      <c r="B809" s="228"/>
      <c r="C809" s="221"/>
      <c r="D809" s="88"/>
      <c r="E809" s="100"/>
      <c r="F809" s="95"/>
      <c r="G809" s="114"/>
      <c r="H809" s="96"/>
      <c r="I809" s="97"/>
      <c r="J809" s="98"/>
      <c r="K809" s="101"/>
      <c r="L809" s="124"/>
      <c r="M809" s="333"/>
      <c r="N809" s="341"/>
      <c r="O809" s="82"/>
      <c r="P809" s="93"/>
      <c r="Q809" s="82"/>
      <c r="R809" s="93"/>
      <c r="S809" s="298"/>
      <c r="T809" s="304"/>
      <c r="U809" s="307"/>
      <c r="V809" s="309"/>
      <c r="W809" s="248"/>
      <c r="X809" s="342"/>
      <c r="Y809" s="336"/>
      <c r="Z809" s="123"/>
      <c r="AA809" s="33"/>
      <c r="AB809" s="123"/>
      <c r="AC809" s="33"/>
      <c r="AD809" s="123"/>
      <c r="AE809" s="33"/>
      <c r="AF809" s="123"/>
      <c r="AG809" s="243"/>
      <c r="AH809" s="33"/>
      <c r="AI809" s="245"/>
      <c r="AJ809" s="125"/>
      <c r="AK809" s="91"/>
      <c r="AL809" s="126"/>
      <c r="AM809" s="91"/>
      <c r="AN809" s="91"/>
      <c r="AO809" s="197">
        <f t="shared" si="51"/>
        <v>0</v>
      </c>
      <c r="AP809" s="126"/>
      <c r="AQ809" s="216"/>
      <c r="AR809" s="127"/>
      <c r="AS809" s="269"/>
      <c r="AT809" s="94"/>
      <c r="AU809" s="84"/>
      <c r="AV809" s="80"/>
      <c r="AW809" s="81"/>
      <c r="AX809" s="77"/>
      <c r="AY809" s="107"/>
      <c r="AZ809" s="220">
        <f t="shared" si="48"/>
        <v>0</v>
      </c>
      <c r="BA809" s="220">
        <f t="shared" si="49"/>
        <v>0</v>
      </c>
    </row>
    <row r="810" spans="1:53" ht="50.1" customHeight="1" x14ac:dyDescent="0.25">
      <c r="A810" s="17">
        <f t="shared" si="50"/>
        <v>796</v>
      </c>
      <c r="B810" s="229"/>
      <c r="C810" s="222"/>
      <c r="D810" s="112"/>
      <c r="E810" s="128"/>
      <c r="F810" s="129"/>
      <c r="G810" s="130"/>
      <c r="H810" s="131"/>
      <c r="I810" s="132"/>
      <c r="J810" s="108"/>
      <c r="K810" s="133"/>
      <c r="L810" s="134"/>
      <c r="M810" s="334"/>
      <c r="N810" s="343"/>
      <c r="O810" s="135"/>
      <c r="P810" s="82"/>
      <c r="Q810" s="135"/>
      <c r="R810" s="82"/>
      <c r="S810" s="299"/>
      <c r="T810" s="305"/>
      <c r="U810" s="298"/>
      <c r="V810" s="304"/>
      <c r="W810" s="249"/>
      <c r="X810" s="344"/>
      <c r="Y810" s="337"/>
      <c r="Z810" s="33"/>
      <c r="AA810" s="83"/>
      <c r="AB810" s="33"/>
      <c r="AC810" s="83"/>
      <c r="AD810" s="33"/>
      <c r="AE810" s="83"/>
      <c r="AF810" s="33"/>
      <c r="AG810" s="244"/>
      <c r="AH810" s="83"/>
      <c r="AI810" s="246"/>
      <c r="AJ810" s="102"/>
      <c r="AK810" s="92"/>
      <c r="AL810" s="91"/>
      <c r="AM810" s="92"/>
      <c r="AN810" s="351"/>
      <c r="AO810" s="197">
        <f t="shared" si="51"/>
        <v>0</v>
      </c>
      <c r="AP810" s="91"/>
      <c r="AQ810" s="217"/>
      <c r="AR810" s="103"/>
      <c r="AS810" s="264"/>
      <c r="AT810" s="94"/>
      <c r="AU810" s="84"/>
      <c r="AV810" s="136"/>
      <c r="AW810" s="77"/>
      <c r="AX810" s="137"/>
      <c r="AY810" s="138"/>
      <c r="AZ810" s="220">
        <f t="shared" si="48"/>
        <v>0</v>
      </c>
      <c r="BA810" s="220">
        <f t="shared" si="49"/>
        <v>0</v>
      </c>
    </row>
    <row r="811" spans="1:53" ht="50.1" customHeight="1" x14ac:dyDescent="0.25">
      <c r="A811" s="17">
        <f t="shared" si="50"/>
        <v>797</v>
      </c>
      <c r="B811" s="228"/>
      <c r="C811" s="221"/>
      <c r="D811" s="88"/>
      <c r="E811" s="100"/>
      <c r="F811" s="95"/>
      <c r="G811" s="114"/>
      <c r="H811" s="96"/>
      <c r="I811" s="97"/>
      <c r="J811" s="98"/>
      <c r="K811" s="101"/>
      <c r="L811" s="124"/>
      <c r="M811" s="333"/>
      <c r="N811" s="341"/>
      <c r="O811" s="82"/>
      <c r="P811" s="93"/>
      <c r="Q811" s="82"/>
      <c r="R811" s="93"/>
      <c r="S811" s="298"/>
      <c r="T811" s="304"/>
      <c r="U811" s="307"/>
      <c r="V811" s="309"/>
      <c r="W811" s="248"/>
      <c r="X811" s="342"/>
      <c r="Y811" s="336"/>
      <c r="Z811" s="123"/>
      <c r="AA811" s="33"/>
      <c r="AB811" s="123"/>
      <c r="AC811" s="33"/>
      <c r="AD811" s="123"/>
      <c r="AE811" s="33"/>
      <c r="AF811" s="123"/>
      <c r="AG811" s="243"/>
      <c r="AH811" s="33"/>
      <c r="AI811" s="245"/>
      <c r="AJ811" s="125"/>
      <c r="AK811" s="91"/>
      <c r="AL811" s="126"/>
      <c r="AM811" s="91"/>
      <c r="AN811" s="91"/>
      <c r="AO811" s="197">
        <f t="shared" si="51"/>
        <v>0</v>
      </c>
      <c r="AP811" s="126"/>
      <c r="AQ811" s="216"/>
      <c r="AR811" s="127"/>
      <c r="AS811" s="269"/>
      <c r="AT811" s="94"/>
      <c r="AU811" s="84"/>
      <c r="AV811" s="80"/>
      <c r="AW811" s="81"/>
      <c r="AX811" s="77"/>
      <c r="AY811" s="107"/>
      <c r="AZ811" s="220">
        <f t="shared" si="48"/>
        <v>0</v>
      </c>
      <c r="BA811" s="220">
        <f t="shared" si="49"/>
        <v>0</v>
      </c>
    </row>
    <row r="812" spans="1:53" ht="50.1" customHeight="1" x14ac:dyDescent="0.25">
      <c r="A812" s="17">
        <f t="shared" si="50"/>
        <v>798</v>
      </c>
      <c r="B812" s="229"/>
      <c r="C812" s="222"/>
      <c r="D812" s="112"/>
      <c r="E812" s="128"/>
      <c r="F812" s="129"/>
      <c r="G812" s="130"/>
      <c r="H812" s="131"/>
      <c r="I812" s="132"/>
      <c r="J812" s="108"/>
      <c r="K812" s="133"/>
      <c r="L812" s="134"/>
      <c r="M812" s="334"/>
      <c r="N812" s="343"/>
      <c r="O812" s="135"/>
      <c r="P812" s="82"/>
      <c r="Q812" s="135"/>
      <c r="R812" s="82"/>
      <c r="S812" s="299"/>
      <c r="T812" s="305"/>
      <c r="U812" s="298"/>
      <c r="V812" s="304"/>
      <c r="W812" s="249"/>
      <c r="X812" s="344"/>
      <c r="Y812" s="337"/>
      <c r="Z812" s="33"/>
      <c r="AA812" s="83"/>
      <c r="AB812" s="33"/>
      <c r="AC812" s="83"/>
      <c r="AD812" s="33"/>
      <c r="AE812" s="83"/>
      <c r="AF812" s="33"/>
      <c r="AG812" s="244"/>
      <c r="AH812" s="83"/>
      <c r="AI812" s="246"/>
      <c r="AJ812" s="102"/>
      <c r="AK812" s="92"/>
      <c r="AL812" s="91"/>
      <c r="AM812" s="92"/>
      <c r="AN812" s="351"/>
      <c r="AO812" s="197">
        <f t="shared" si="51"/>
        <v>0</v>
      </c>
      <c r="AP812" s="91"/>
      <c r="AQ812" s="217"/>
      <c r="AR812" s="103"/>
      <c r="AS812" s="264"/>
      <c r="AT812" s="94"/>
      <c r="AU812" s="84"/>
      <c r="AV812" s="136"/>
      <c r="AW812" s="77"/>
      <c r="AX812" s="137"/>
      <c r="AY812" s="138"/>
      <c r="AZ812" s="220">
        <f t="shared" si="48"/>
        <v>0</v>
      </c>
      <c r="BA812" s="220">
        <f t="shared" si="49"/>
        <v>0</v>
      </c>
    </row>
    <row r="813" spans="1:53" ht="50.1" customHeight="1" x14ac:dyDescent="0.25">
      <c r="A813" s="17">
        <f t="shared" si="50"/>
        <v>799</v>
      </c>
      <c r="B813" s="228"/>
      <c r="C813" s="221"/>
      <c r="D813" s="88"/>
      <c r="E813" s="100"/>
      <c r="F813" s="95"/>
      <c r="G813" s="114"/>
      <c r="H813" s="96"/>
      <c r="I813" s="97"/>
      <c r="J813" s="98"/>
      <c r="K813" s="101"/>
      <c r="L813" s="124"/>
      <c r="M813" s="333"/>
      <c r="N813" s="341"/>
      <c r="O813" s="82"/>
      <c r="P813" s="93"/>
      <c r="Q813" s="82"/>
      <c r="R813" s="93"/>
      <c r="S813" s="298"/>
      <c r="T813" s="304"/>
      <c r="U813" s="307"/>
      <c r="V813" s="309"/>
      <c r="W813" s="248"/>
      <c r="X813" s="342"/>
      <c r="Y813" s="336"/>
      <c r="Z813" s="123"/>
      <c r="AA813" s="33"/>
      <c r="AB813" s="123"/>
      <c r="AC813" s="33"/>
      <c r="AD813" s="123"/>
      <c r="AE813" s="33"/>
      <c r="AF813" s="123"/>
      <c r="AG813" s="243"/>
      <c r="AH813" s="33"/>
      <c r="AI813" s="245"/>
      <c r="AJ813" s="125"/>
      <c r="AK813" s="91"/>
      <c r="AL813" s="126"/>
      <c r="AM813" s="91"/>
      <c r="AN813" s="91"/>
      <c r="AO813" s="197">
        <f t="shared" si="51"/>
        <v>0</v>
      </c>
      <c r="AP813" s="126"/>
      <c r="AQ813" s="216"/>
      <c r="AR813" s="127"/>
      <c r="AS813" s="269"/>
      <c r="AT813" s="94"/>
      <c r="AU813" s="84"/>
      <c r="AV813" s="80"/>
      <c r="AW813" s="81"/>
      <c r="AX813" s="77"/>
      <c r="AY813" s="107"/>
      <c r="AZ813" s="220">
        <f t="shared" si="48"/>
        <v>0</v>
      </c>
      <c r="BA813" s="220">
        <f t="shared" si="49"/>
        <v>0</v>
      </c>
    </row>
    <row r="814" spans="1:53" ht="50.1" customHeight="1" x14ac:dyDescent="0.25">
      <c r="A814" s="17">
        <f t="shared" si="50"/>
        <v>800</v>
      </c>
      <c r="B814" s="229"/>
      <c r="C814" s="222"/>
      <c r="D814" s="112"/>
      <c r="E814" s="128"/>
      <c r="F814" s="129"/>
      <c r="G814" s="130"/>
      <c r="H814" s="131"/>
      <c r="I814" s="132"/>
      <c r="J814" s="108"/>
      <c r="K814" s="133"/>
      <c r="L814" s="134"/>
      <c r="M814" s="334"/>
      <c r="N814" s="343"/>
      <c r="O814" s="135"/>
      <c r="P814" s="82"/>
      <c r="Q814" s="135"/>
      <c r="R814" s="82"/>
      <c r="S814" s="299"/>
      <c r="T814" s="305"/>
      <c r="U814" s="298"/>
      <c r="V814" s="304"/>
      <c r="W814" s="249"/>
      <c r="X814" s="344"/>
      <c r="Y814" s="337"/>
      <c r="Z814" s="33"/>
      <c r="AA814" s="83"/>
      <c r="AB814" s="33"/>
      <c r="AC814" s="83"/>
      <c r="AD814" s="33"/>
      <c r="AE814" s="83"/>
      <c r="AF814" s="33"/>
      <c r="AG814" s="244"/>
      <c r="AH814" s="83"/>
      <c r="AI814" s="246"/>
      <c r="AJ814" s="102"/>
      <c r="AK814" s="92"/>
      <c r="AL814" s="91"/>
      <c r="AM814" s="92"/>
      <c r="AN814" s="351"/>
      <c r="AO814" s="197">
        <f t="shared" si="51"/>
        <v>0</v>
      </c>
      <c r="AP814" s="91"/>
      <c r="AQ814" s="217"/>
      <c r="AR814" s="103"/>
      <c r="AS814" s="264"/>
      <c r="AT814" s="94"/>
      <c r="AU814" s="84"/>
      <c r="AV814" s="136"/>
      <c r="AW814" s="77"/>
      <c r="AX814" s="137"/>
      <c r="AY814" s="138"/>
      <c r="AZ814" s="220">
        <f t="shared" si="48"/>
        <v>0</v>
      </c>
      <c r="BA814" s="220">
        <f t="shared" si="49"/>
        <v>0</v>
      </c>
    </row>
    <row r="815" spans="1:53" ht="50.1" customHeight="1" x14ac:dyDescent="0.25">
      <c r="A815" s="17">
        <f t="shared" si="50"/>
        <v>801</v>
      </c>
      <c r="B815" s="228"/>
      <c r="C815" s="221"/>
      <c r="D815" s="88"/>
      <c r="E815" s="100"/>
      <c r="F815" s="95"/>
      <c r="G815" s="114"/>
      <c r="H815" s="96"/>
      <c r="I815" s="97"/>
      <c r="J815" s="98"/>
      <c r="K815" s="101"/>
      <c r="L815" s="124"/>
      <c r="M815" s="333"/>
      <c r="N815" s="341"/>
      <c r="O815" s="82"/>
      <c r="P815" s="93"/>
      <c r="Q815" s="82"/>
      <c r="R815" s="93"/>
      <c r="S815" s="298"/>
      <c r="T815" s="304"/>
      <c r="U815" s="307"/>
      <c r="V815" s="309"/>
      <c r="W815" s="248"/>
      <c r="X815" s="342"/>
      <c r="Y815" s="336"/>
      <c r="Z815" s="123"/>
      <c r="AA815" s="33"/>
      <c r="AB815" s="123"/>
      <c r="AC815" s="33"/>
      <c r="AD815" s="123"/>
      <c r="AE815" s="33"/>
      <c r="AF815" s="123"/>
      <c r="AG815" s="243"/>
      <c r="AH815" s="33"/>
      <c r="AI815" s="245"/>
      <c r="AJ815" s="125"/>
      <c r="AK815" s="91"/>
      <c r="AL815" s="126"/>
      <c r="AM815" s="91"/>
      <c r="AN815" s="91"/>
      <c r="AO815" s="197">
        <f t="shared" si="51"/>
        <v>0</v>
      </c>
      <c r="AP815" s="126"/>
      <c r="AQ815" s="216"/>
      <c r="AR815" s="127"/>
      <c r="AS815" s="269"/>
      <c r="AT815" s="94"/>
      <c r="AU815" s="84"/>
      <c r="AV815" s="80"/>
      <c r="AW815" s="81"/>
      <c r="AX815" s="77"/>
      <c r="AY815" s="107"/>
      <c r="AZ815" s="220">
        <f t="shared" si="48"/>
        <v>0</v>
      </c>
      <c r="BA815" s="220">
        <f t="shared" si="49"/>
        <v>0</v>
      </c>
    </row>
    <row r="816" spans="1:53" ht="50.1" customHeight="1" x14ac:dyDescent="0.25">
      <c r="A816" s="17">
        <f t="shared" si="50"/>
        <v>802</v>
      </c>
      <c r="B816" s="229"/>
      <c r="C816" s="222"/>
      <c r="D816" s="112"/>
      <c r="E816" s="128"/>
      <c r="F816" s="129"/>
      <c r="G816" s="130"/>
      <c r="H816" s="131"/>
      <c r="I816" s="132"/>
      <c r="J816" s="108"/>
      <c r="K816" s="133"/>
      <c r="L816" s="134"/>
      <c r="M816" s="334"/>
      <c r="N816" s="343"/>
      <c r="O816" s="135"/>
      <c r="P816" s="82"/>
      <c r="Q816" s="135"/>
      <c r="R816" s="82"/>
      <c r="S816" s="299"/>
      <c r="T816" s="305"/>
      <c r="U816" s="298"/>
      <c r="V816" s="304"/>
      <c r="W816" s="249"/>
      <c r="X816" s="344"/>
      <c r="Y816" s="337"/>
      <c r="Z816" s="33"/>
      <c r="AA816" s="83"/>
      <c r="AB816" s="33"/>
      <c r="AC816" s="83"/>
      <c r="AD816" s="33"/>
      <c r="AE816" s="83"/>
      <c r="AF816" s="33"/>
      <c r="AG816" s="244"/>
      <c r="AH816" s="83"/>
      <c r="AI816" s="246"/>
      <c r="AJ816" s="102"/>
      <c r="AK816" s="92"/>
      <c r="AL816" s="91"/>
      <c r="AM816" s="92"/>
      <c r="AN816" s="351"/>
      <c r="AO816" s="197">
        <f t="shared" si="51"/>
        <v>0</v>
      </c>
      <c r="AP816" s="91"/>
      <c r="AQ816" s="217"/>
      <c r="AR816" s="103"/>
      <c r="AS816" s="264"/>
      <c r="AT816" s="94"/>
      <c r="AU816" s="84"/>
      <c r="AV816" s="136"/>
      <c r="AW816" s="77"/>
      <c r="AX816" s="137"/>
      <c r="AY816" s="138"/>
      <c r="AZ816" s="220">
        <f t="shared" si="48"/>
        <v>0</v>
      </c>
      <c r="BA816" s="220">
        <f t="shared" si="49"/>
        <v>0</v>
      </c>
    </row>
    <row r="817" spans="1:53" ht="50.1" customHeight="1" x14ac:dyDescent="0.25">
      <c r="A817" s="17">
        <f t="shared" si="50"/>
        <v>803</v>
      </c>
      <c r="B817" s="228"/>
      <c r="C817" s="221"/>
      <c r="D817" s="88"/>
      <c r="E817" s="100"/>
      <c r="F817" s="95"/>
      <c r="G817" s="114"/>
      <c r="H817" s="96"/>
      <c r="I817" s="97"/>
      <c r="J817" s="98"/>
      <c r="K817" s="101"/>
      <c r="L817" s="124"/>
      <c r="M817" s="333"/>
      <c r="N817" s="341"/>
      <c r="O817" s="82"/>
      <c r="P817" s="93"/>
      <c r="Q817" s="82"/>
      <c r="R817" s="93"/>
      <c r="S817" s="298"/>
      <c r="T817" s="304"/>
      <c r="U817" s="307"/>
      <c r="V817" s="309"/>
      <c r="W817" s="248"/>
      <c r="X817" s="342"/>
      <c r="Y817" s="336"/>
      <c r="Z817" s="123"/>
      <c r="AA817" s="33"/>
      <c r="AB817" s="123"/>
      <c r="AC817" s="33"/>
      <c r="AD817" s="123"/>
      <c r="AE817" s="33"/>
      <c r="AF817" s="123"/>
      <c r="AG817" s="243"/>
      <c r="AH817" s="33"/>
      <c r="AI817" s="245"/>
      <c r="AJ817" s="125"/>
      <c r="AK817" s="91"/>
      <c r="AL817" s="126"/>
      <c r="AM817" s="91"/>
      <c r="AN817" s="91"/>
      <c r="AO817" s="197">
        <f t="shared" si="51"/>
        <v>0</v>
      </c>
      <c r="AP817" s="126"/>
      <c r="AQ817" s="216"/>
      <c r="AR817" s="127"/>
      <c r="AS817" s="269"/>
      <c r="AT817" s="94"/>
      <c r="AU817" s="84"/>
      <c r="AV817" s="80"/>
      <c r="AW817" s="81"/>
      <c r="AX817" s="77"/>
      <c r="AY817" s="107"/>
      <c r="AZ817" s="220">
        <f t="shared" si="48"/>
        <v>0</v>
      </c>
      <c r="BA817" s="220">
        <f t="shared" si="49"/>
        <v>0</v>
      </c>
    </row>
    <row r="818" spans="1:53" ht="50.1" customHeight="1" x14ac:dyDescent="0.25">
      <c r="A818" s="17">
        <f t="shared" si="50"/>
        <v>804</v>
      </c>
      <c r="B818" s="229"/>
      <c r="C818" s="222"/>
      <c r="D818" s="112"/>
      <c r="E818" s="128"/>
      <c r="F818" s="129"/>
      <c r="G818" s="130"/>
      <c r="H818" s="131"/>
      <c r="I818" s="132"/>
      <c r="J818" s="108"/>
      <c r="K818" s="133"/>
      <c r="L818" s="134"/>
      <c r="M818" s="334"/>
      <c r="N818" s="343"/>
      <c r="O818" s="135"/>
      <c r="P818" s="82"/>
      <c r="Q818" s="135"/>
      <c r="R818" s="82"/>
      <c r="S818" s="299"/>
      <c r="T818" s="305"/>
      <c r="U818" s="298"/>
      <c r="V818" s="304"/>
      <c r="W818" s="249"/>
      <c r="X818" s="344"/>
      <c r="Y818" s="337"/>
      <c r="Z818" s="33"/>
      <c r="AA818" s="83"/>
      <c r="AB818" s="33"/>
      <c r="AC818" s="83"/>
      <c r="AD818" s="33"/>
      <c r="AE818" s="83"/>
      <c r="AF818" s="33"/>
      <c r="AG818" s="244"/>
      <c r="AH818" s="83"/>
      <c r="AI818" s="246"/>
      <c r="AJ818" s="102"/>
      <c r="AK818" s="92"/>
      <c r="AL818" s="91"/>
      <c r="AM818" s="92"/>
      <c r="AN818" s="351"/>
      <c r="AO818" s="197">
        <f t="shared" si="51"/>
        <v>0</v>
      </c>
      <c r="AP818" s="91"/>
      <c r="AQ818" s="217"/>
      <c r="AR818" s="103"/>
      <c r="AS818" s="264"/>
      <c r="AT818" s="94"/>
      <c r="AU818" s="84"/>
      <c r="AV818" s="136"/>
      <c r="AW818" s="77"/>
      <c r="AX818" s="137"/>
      <c r="AY818" s="138"/>
      <c r="AZ818" s="220">
        <f t="shared" si="48"/>
        <v>0</v>
      </c>
      <c r="BA818" s="220">
        <f t="shared" si="49"/>
        <v>0</v>
      </c>
    </row>
    <row r="819" spans="1:53" ht="50.1" customHeight="1" x14ac:dyDescent="0.25">
      <c r="A819" s="17">
        <f t="shared" si="50"/>
        <v>805</v>
      </c>
      <c r="B819" s="228"/>
      <c r="C819" s="221"/>
      <c r="D819" s="88"/>
      <c r="E819" s="100"/>
      <c r="F819" s="95"/>
      <c r="G819" s="114"/>
      <c r="H819" s="96"/>
      <c r="I819" s="97"/>
      <c r="J819" s="98"/>
      <c r="K819" s="101"/>
      <c r="L819" s="124"/>
      <c r="M819" s="333"/>
      <c r="N819" s="341"/>
      <c r="O819" s="82"/>
      <c r="P819" s="93"/>
      <c r="Q819" s="82"/>
      <c r="R819" s="93"/>
      <c r="S819" s="298"/>
      <c r="T819" s="304"/>
      <c r="U819" s="307"/>
      <c r="V819" s="309"/>
      <c r="W819" s="248"/>
      <c r="X819" s="342"/>
      <c r="Y819" s="336"/>
      <c r="Z819" s="123"/>
      <c r="AA819" s="33"/>
      <c r="AB819" s="123"/>
      <c r="AC819" s="33"/>
      <c r="AD819" s="123"/>
      <c r="AE819" s="33"/>
      <c r="AF819" s="123"/>
      <c r="AG819" s="243"/>
      <c r="AH819" s="33"/>
      <c r="AI819" s="245"/>
      <c r="AJ819" s="125"/>
      <c r="AK819" s="91"/>
      <c r="AL819" s="126"/>
      <c r="AM819" s="91"/>
      <c r="AN819" s="91"/>
      <c r="AO819" s="197">
        <f t="shared" si="51"/>
        <v>0</v>
      </c>
      <c r="AP819" s="126"/>
      <c r="AQ819" s="216"/>
      <c r="AR819" s="127"/>
      <c r="AS819" s="269"/>
      <c r="AT819" s="94"/>
      <c r="AU819" s="84"/>
      <c r="AV819" s="80"/>
      <c r="AW819" s="81"/>
      <c r="AX819" s="77"/>
      <c r="AY819" s="107"/>
      <c r="AZ819" s="220">
        <f t="shared" si="48"/>
        <v>0</v>
      </c>
      <c r="BA819" s="220">
        <f t="shared" si="49"/>
        <v>0</v>
      </c>
    </row>
    <row r="820" spans="1:53" ht="50.1" customHeight="1" x14ac:dyDescent="0.25">
      <c r="A820" s="17">
        <f t="shared" si="50"/>
        <v>806</v>
      </c>
      <c r="B820" s="229"/>
      <c r="C820" s="222"/>
      <c r="D820" s="112"/>
      <c r="E820" s="128"/>
      <c r="F820" s="129"/>
      <c r="G820" s="130"/>
      <c r="H820" s="131"/>
      <c r="I820" s="132"/>
      <c r="J820" s="108"/>
      <c r="K820" s="133"/>
      <c r="L820" s="134"/>
      <c r="M820" s="334"/>
      <c r="N820" s="343"/>
      <c r="O820" s="135"/>
      <c r="P820" s="82"/>
      <c r="Q820" s="135"/>
      <c r="R820" s="82"/>
      <c r="S820" s="299"/>
      <c r="T820" s="305"/>
      <c r="U820" s="298"/>
      <c r="V820" s="304"/>
      <c r="W820" s="249"/>
      <c r="X820" s="344"/>
      <c r="Y820" s="337"/>
      <c r="Z820" s="33"/>
      <c r="AA820" s="83"/>
      <c r="AB820" s="33"/>
      <c r="AC820" s="83"/>
      <c r="AD820" s="33"/>
      <c r="AE820" s="83"/>
      <c r="AF820" s="33"/>
      <c r="AG820" s="244"/>
      <c r="AH820" s="83"/>
      <c r="AI820" s="246"/>
      <c r="AJ820" s="102"/>
      <c r="AK820" s="92"/>
      <c r="AL820" s="91"/>
      <c r="AM820" s="92"/>
      <c r="AN820" s="351"/>
      <c r="AO820" s="197">
        <f t="shared" si="51"/>
        <v>0</v>
      </c>
      <c r="AP820" s="91"/>
      <c r="AQ820" s="217"/>
      <c r="AR820" s="103"/>
      <c r="AS820" s="264"/>
      <c r="AT820" s="94"/>
      <c r="AU820" s="84"/>
      <c r="AV820" s="136"/>
      <c r="AW820" s="77"/>
      <c r="AX820" s="137"/>
      <c r="AY820" s="138"/>
      <c r="AZ820" s="220">
        <f t="shared" si="48"/>
        <v>0</v>
      </c>
      <c r="BA820" s="220">
        <f t="shared" si="49"/>
        <v>0</v>
      </c>
    </row>
    <row r="821" spans="1:53" ht="50.1" customHeight="1" x14ac:dyDescent="0.25">
      <c r="A821" s="17">
        <f t="shared" si="50"/>
        <v>807</v>
      </c>
      <c r="B821" s="228"/>
      <c r="C821" s="221"/>
      <c r="D821" s="88"/>
      <c r="E821" s="100"/>
      <c r="F821" s="95"/>
      <c r="G821" s="114"/>
      <c r="H821" s="96"/>
      <c r="I821" s="97"/>
      <c r="J821" s="98"/>
      <c r="K821" s="101"/>
      <c r="L821" s="124"/>
      <c r="M821" s="333"/>
      <c r="N821" s="341"/>
      <c r="O821" s="82"/>
      <c r="P821" s="93"/>
      <c r="Q821" s="82"/>
      <c r="R821" s="93"/>
      <c r="S821" s="298"/>
      <c r="T821" s="304"/>
      <c r="U821" s="307"/>
      <c r="V821" s="309"/>
      <c r="W821" s="248"/>
      <c r="X821" s="342"/>
      <c r="Y821" s="336"/>
      <c r="Z821" s="123"/>
      <c r="AA821" s="33"/>
      <c r="AB821" s="123"/>
      <c r="AC821" s="33"/>
      <c r="AD821" s="123"/>
      <c r="AE821" s="33"/>
      <c r="AF821" s="123"/>
      <c r="AG821" s="243"/>
      <c r="AH821" s="33"/>
      <c r="AI821" s="245"/>
      <c r="AJ821" s="125"/>
      <c r="AK821" s="91"/>
      <c r="AL821" s="126"/>
      <c r="AM821" s="91"/>
      <c r="AN821" s="91"/>
      <c r="AO821" s="197">
        <f t="shared" si="51"/>
        <v>0</v>
      </c>
      <c r="AP821" s="126"/>
      <c r="AQ821" s="216"/>
      <c r="AR821" s="127"/>
      <c r="AS821" s="269"/>
      <c r="AT821" s="94"/>
      <c r="AU821" s="84"/>
      <c r="AV821" s="80"/>
      <c r="AW821" s="81"/>
      <c r="AX821" s="77"/>
      <c r="AY821" s="107"/>
      <c r="AZ821" s="220">
        <f t="shared" si="48"/>
        <v>0</v>
      </c>
      <c r="BA821" s="220">
        <f t="shared" si="49"/>
        <v>0</v>
      </c>
    </row>
    <row r="822" spans="1:53" ht="50.1" customHeight="1" x14ac:dyDescent="0.25">
      <c r="A822" s="17">
        <f t="shared" si="50"/>
        <v>808</v>
      </c>
      <c r="B822" s="229"/>
      <c r="C822" s="222"/>
      <c r="D822" s="112"/>
      <c r="E822" s="128"/>
      <c r="F822" s="129"/>
      <c r="G822" s="130"/>
      <c r="H822" s="131"/>
      <c r="I822" s="132"/>
      <c r="J822" s="108"/>
      <c r="K822" s="133"/>
      <c r="L822" s="134"/>
      <c r="M822" s="334"/>
      <c r="N822" s="343"/>
      <c r="O822" s="135"/>
      <c r="P822" s="82"/>
      <c r="Q822" s="135"/>
      <c r="R822" s="82"/>
      <c r="S822" s="299"/>
      <c r="T822" s="305"/>
      <c r="U822" s="298"/>
      <c r="V822" s="304"/>
      <c r="W822" s="249"/>
      <c r="X822" s="344"/>
      <c r="Y822" s="337"/>
      <c r="Z822" s="33"/>
      <c r="AA822" s="83"/>
      <c r="AB822" s="33"/>
      <c r="AC822" s="83"/>
      <c r="AD822" s="33"/>
      <c r="AE822" s="83"/>
      <c r="AF822" s="33"/>
      <c r="AG822" s="244"/>
      <c r="AH822" s="83"/>
      <c r="AI822" s="246"/>
      <c r="AJ822" s="102"/>
      <c r="AK822" s="92"/>
      <c r="AL822" s="91"/>
      <c r="AM822" s="92"/>
      <c r="AN822" s="351"/>
      <c r="AO822" s="197">
        <f t="shared" si="51"/>
        <v>0</v>
      </c>
      <c r="AP822" s="91"/>
      <c r="AQ822" s="217"/>
      <c r="AR822" s="103"/>
      <c r="AS822" s="264"/>
      <c r="AT822" s="94"/>
      <c r="AU822" s="84"/>
      <c r="AV822" s="136"/>
      <c r="AW822" s="77"/>
      <c r="AX822" s="137"/>
      <c r="AY822" s="138"/>
      <c r="AZ822" s="220">
        <f t="shared" si="48"/>
        <v>0</v>
      </c>
      <c r="BA822" s="220">
        <f t="shared" si="49"/>
        <v>0</v>
      </c>
    </row>
    <row r="823" spans="1:53" ht="50.1" customHeight="1" x14ac:dyDescent="0.25">
      <c r="A823" s="17">
        <f t="shared" si="50"/>
        <v>809</v>
      </c>
      <c r="B823" s="228"/>
      <c r="C823" s="221"/>
      <c r="D823" s="88"/>
      <c r="E823" s="100"/>
      <c r="F823" s="95"/>
      <c r="G823" s="114"/>
      <c r="H823" s="96"/>
      <c r="I823" s="97"/>
      <c r="J823" s="98"/>
      <c r="K823" s="101"/>
      <c r="L823" s="124"/>
      <c r="M823" s="333"/>
      <c r="N823" s="341"/>
      <c r="O823" s="82"/>
      <c r="P823" s="93"/>
      <c r="Q823" s="82"/>
      <c r="R823" s="93"/>
      <c r="S823" s="298"/>
      <c r="T823" s="304"/>
      <c r="U823" s="307"/>
      <c r="V823" s="309"/>
      <c r="W823" s="248"/>
      <c r="X823" s="342"/>
      <c r="Y823" s="336"/>
      <c r="Z823" s="123"/>
      <c r="AA823" s="33"/>
      <c r="AB823" s="123"/>
      <c r="AC823" s="33"/>
      <c r="AD823" s="123"/>
      <c r="AE823" s="33"/>
      <c r="AF823" s="123"/>
      <c r="AG823" s="243"/>
      <c r="AH823" s="33"/>
      <c r="AI823" s="245"/>
      <c r="AJ823" s="125"/>
      <c r="AK823" s="91"/>
      <c r="AL823" s="126"/>
      <c r="AM823" s="91"/>
      <c r="AN823" s="91"/>
      <c r="AO823" s="197">
        <f t="shared" si="51"/>
        <v>0</v>
      </c>
      <c r="AP823" s="126"/>
      <c r="AQ823" s="216"/>
      <c r="AR823" s="127"/>
      <c r="AS823" s="269"/>
      <c r="AT823" s="94"/>
      <c r="AU823" s="84"/>
      <c r="AV823" s="80"/>
      <c r="AW823" s="81"/>
      <c r="AX823" s="77"/>
      <c r="AY823" s="107"/>
      <c r="AZ823" s="220">
        <f t="shared" si="48"/>
        <v>0</v>
      </c>
      <c r="BA823" s="220">
        <f t="shared" si="49"/>
        <v>0</v>
      </c>
    </row>
    <row r="824" spans="1:53" ht="50.1" customHeight="1" x14ac:dyDescent="0.25">
      <c r="A824" s="17">
        <f t="shared" si="50"/>
        <v>810</v>
      </c>
      <c r="B824" s="229"/>
      <c r="C824" s="222"/>
      <c r="D824" s="112"/>
      <c r="E824" s="128"/>
      <c r="F824" s="129"/>
      <c r="G824" s="130"/>
      <c r="H824" s="131"/>
      <c r="I824" s="132"/>
      <c r="J824" s="108"/>
      <c r="K824" s="133"/>
      <c r="L824" s="134"/>
      <c r="M824" s="334"/>
      <c r="N824" s="343"/>
      <c r="O824" s="135"/>
      <c r="P824" s="82"/>
      <c r="Q824" s="135"/>
      <c r="R824" s="82"/>
      <c r="S824" s="299"/>
      <c r="T824" s="305"/>
      <c r="U824" s="298"/>
      <c r="V824" s="304"/>
      <c r="W824" s="249"/>
      <c r="X824" s="344"/>
      <c r="Y824" s="337"/>
      <c r="Z824" s="33"/>
      <c r="AA824" s="83"/>
      <c r="AB824" s="33"/>
      <c r="AC824" s="83"/>
      <c r="AD824" s="33"/>
      <c r="AE824" s="83"/>
      <c r="AF824" s="33"/>
      <c r="AG824" s="244"/>
      <c r="AH824" s="83"/>
      <c r="AI824" s="246"/>
      <c r="AJ824" s="102"/>
      <c r="AK824" s="92"/>
      <c r="AL824" s="91"/>
      <c r="AM824" s="92"/>
      <c r="AN824" s="351"/>
      <c r="AO824" s="197">
        <f t="shared" si="51"/>
        <v>0</v>
      </c>
      <c r="AP824" s="91"/>
      <c r="AQ824" s="217"/>
      <c r="AR824" s="103"/>
      <c r="AS824" s="264"/>
      <c r="AT824" s="94"/>
      <c r="AU824" s="84"/>
      <c r="AV824" s="136"/>
      <c r="AW824" s="77"/>
      <c r="AX824" s="137"/>
      <c r="AY824" s="138"/>
      <c r="AZ824" s="220">
        <f t="shared" si="48"/>
        <v>0</v>
      </c>
      <c r="BA824" s="220">
        <f t="shared" si="49"/>
        <v>0</v>
      </c>
    </row>
    <row r="825" spans="1:53" ht="50.1" customHeight="1" x14ac:dyDescent="0.25">
      <c r="A825" s="17">
        <f t="shared" si="50"/>
        <v>811</v>
      </c>
      <c r="B825" s="228"/>
      <c r="C825" s="221"/>
      <c r="D825" s="88"/>
      <c r="E825" s="100"/>
      <c r="F825" s="95"/>
      <c r="G825" s="114"/>
      <c r="H825" s="96"/>
      <c r="I825" s="97"/>
      <c r="J825" s="98"/>
      <c r="K825" s="101"/>
      <c r="L825" s="124"/>
      <c r="M825" s="333"/>
      <c r="N825" s="341"/>
      <c r="O825" s="82"/>
      <c r="P825" s="93"/>
      <c r="Q825" s="82"/>
      <c r="R825" s="93"/>
      <c r="S825" s="298"/>
      <c r="T825" s="304"/>
      <c r="U825" s="307"/>
      <c r="V825" s="309"/>
      <c r="W825" s="248"/>
      <c r="X825" s="342"/>
      <c r="Y825" s="336"/>
      <c r="Z825" s="123"/>
      <c r="AA825" s="33"/>
      <c r="AB825" s="123"/>
      <c r="AC825" s="33"/>
      <c r="AD825" s="123"/>
      <c r="AE825" s="33"/>
      <c r="AF825" s="123"/>
      <c r="AG825" s="243"/>
      <c r="AH825" s="33"/>
      <c r="AI825" s="245"/>
      <c r="AJ825" s="125"/>
      <c r="AK825" s="91"/>
      <c r="AL825" s="126"/>
      <c r="AM825" s="91"/>
      <c r="AN825" s="91"/>
      <c r="AO825" s="197">
        <f t="shared" si="51"/>
        <v>0</v>
      </c>
      <c r="AP825" s="126"/>
      <c r="AQ825" s="216"/>
      <c r="AR825" s="127"/>
      <c r="AS825" s="269"/>
      <c r="AT825" s="94"/>
      <c r="AU825" s="84"/>
      <c r="AV825" s="80"/>
      <c r="AW825" s="81"/>
      <c r="AX825" s="77"/>
      <c r="AY825" s="107"/>
      <c r="AZ825" s="220">
        <f t="shared" si="48"/>
        <v>0</v>
      </c>
      <c r="BA825" s="220">
        <f t="shared" si="49"/>
        <v>0</v>
      </c>
    </row>
    <row r="826" spans="1:53" ht="50.1" customHeight="1" x14ac:dyDescent="0.25">
      <c r="A826" s="17">
        <f t="shared" si="50"/>
        <v>812</v>
      </c>
      <c r="B826" s="229"/>
      <c r="C826" s="222"/>
      <c r="D826" s="112"/>
      <c r="E826" s="128"/>
      <c r="F826" s="129"/>
      <c r="G826" s="130"/>
      <c r="H826" s="131"/>
      <c r="I826" s="132"/>
      <c r="J826" s="108"/>
      <c r="K826" s="133"/>
      <c r="L826" s="134"/>
      <c r="M826" s="334"/>
      <c r="N826" s="343"/>
      <c r="O826" s="135"/>
      <c r="P826" s="82"/>
      <c r="Q826" s="135"/>
      <c r="R826" s="82"/>
      <c r="S826" s="299"/>
      <c r="T826" s="305"/>
      <c r="U826" s="298"/>
      <c r="V826" s="304"/>
      <c r="W826" s="249"/>
      <c r="X826" s="344"/>
      <c r="Y826" s="337"/>
      <c r="Z826" s="33"/>
      <c r="AA826" s="83"/>
      <c r="AB826" s="33"/>
      <c r="AC826" s="83"/>
      <c r="AD826" s="33"/>
      <c r="AE826" s="83"/>
      <c r="AF826" s="33"/>
      <c r="AG826" s="244"/>
      <c r="AH826" s="83"/>
      <c r="AI826" s="246"/>
      <c r="AJ826" s="102"/>
      <c r="AK826" s="92"/>
      <c r="AL826" s="91"/>
      <c r="AM826" s="92"/>
      <c r="AN826" s="351"/>
      <c r="AO826" s="197">
        <f t="shared" si="51"/>
        <v>0</v>
      </c>
      <c r="AP826" s="91"/>
      <c r="AQ826" s="217"/>
      <c r="AR826" s="103"/>
      <c r="AS826" s="264"/>
      <c r="AT826" s="94"/>
      <c r="AU826" s="84"/>
      <c r="AV826" s="136"/>
      <c r="AW826" s="77"/>
      <c r="AX826" s="137"/>
      <c r="AY826" s="138"/>
      <c r="AZ826" s="220">
        <f t="shared" si="48"/>
        <v>0</v>
      </c>
      <c r="BA826" s="220">
        <f t="shared" si="49"/>
        <v>0</v>
      </c>
    </row>
    <row r="827" spans="1:53" ht="50.1" customHeight="1" x14ac:dyDescent="0.25">
      <c r="A827" s="17">
        <f t="shared" si="50"/>
        <v>813</v>
      </c>
      <c r="B827" s="228"/>
      <c r="C827" s="221"/>
      <c r="D827" s="88"/>
      <c r="E827" s="100"/>
      <c r="F827" s="95"/>
      <c r="G827" s="114"/>
      <c r="H827" s="96"/>
      <c r="I827" s="97"/>
      <c r="J827" s="98"/>
      <c r="K827" s="101"/>
      <c r="L827" s="124"/>
      <c r="M827" s="333"/>
      <c r="N827" s="341"/>
      <c r="O827" s="82"/>
      <c r="P827" s="93"/>
      <c r="Q827" s="82"/>
      <c r="R827" s="93"/>
      <c r="S827" s="298"/>
      <c r="T827" s="304"/>
      <c r="U827" s="307"/>
      <c r="V827" s="309"/>
      <c r="W827" s="248"/>
      <c r="X827" s="342"/>
      <c r="Y827" s="336"/>
      <c r="Z827" s="123"/>
      <c r="AA827" s="33"/>
      <c r="AB827" s="123"/>
      <c r="AC827" s="33"/>
      <c r="AD827" s="123"/>
      <c r="AE827" s="33"/>
      <c r="AF827" s="123"/>
      <c r="AG827" s="243"/>
      <c r="AH827" s="33"/>
      <c r="AI827" s="245"/>
      <c r="AJ827" s="125"/>
      <c r="AK827" s="91"/>
      <c r="AL827" s="126"/>
      <c r="AM827" s="91"/>
      <c r="AN827" s="91"/>
      <c r="AO827" s="197">
        <f t="shared" si="51"/>
        <v>0</v>
      </c>
      <c r="AP827" s="126"/>
      <c r="AQ827" s="216"/>
      <c r="AR827" s="127"/>
      <c r="AS827" s="269"/>
      <c r="AT827" s="94"/>
      <c r="AU827" s="84"/>
      <c r="AV827" s="80"/>
      <c r="AW827" s="81"/>
      <c r="AX827" s="77"/>
      <c r="AY827" s="107"/>
      <c r="AZ827" s="220">
        <f t="shared" si="48"/>
        <v>0</v>
      </c>
      <c r="BA827" s="220">
        <f t="shared" si="49"/>
        <v>0</v>
      </c>
    </row>
    <row r="828" spans="1:53" ht="50.1" customHeight="1" x14ac:dyDescent="0.25">
      <c r="A828" s="17">
        <f t="shared" si="50"/>
        <v>814</v>
      </c>
      <c r="B828" s="229"/>
      <c r="C828" s="222"/>
      <c r="D828" s="112"/>
      <c r="E828" s="128"/>
      <c r="F828" s="129"/>
      <c r="G828" s="130"/>
      <c r="H828" s="131"/>
      <c r="I828" s="132"/>
      <c r="J828" s="108"/>
      <c r="K828" s="133"/>
      <c r="L828" s="134"/>
      <c r="M828" s="334"/>
      <c r="N828" s="343"/>
      <c r="O828" s="135"/>
      <c r="P828" s="82"/>
      <c r="Q828" s="135"/>
      <c r="R828" s="82"/>
      <c r="S828" s="299"/>
      <c r="T828" s="305"/>
      <c r="U828" s="298"/>
      <c r="V828" s="304"/>
      <c r="W828" s="249"/>
      <c r="X828" s="344"/>
      <c r="Y828" s="337"/>
      <c r="Z828" s="33"/>
      <c r="AA828" s="83"/>
      <c r="AB828" s="33"/>
      <c r="AC828" s="83"/>
      <c r="AD828" s="33"/>
      <c r="AE828" s="83"/>
      <c r="AF828" s="33"/>
      <c r="AG828" s="244"/>
      <c r="AH828" s="83"/>
      <c r="AI828" s="246"/>
      <c r="AJ828" s="102"/>
      <c r="AK828" s="92"/>
      <c r="AL828" s="91"/>
      <c r="AM828" s="92"/>
      <c r="AN828" s="351"/>
      <c r="AO828" s="197">
        <f t="shared" si="51"/>
        <v>0</v>
      </c>
      <c r="AP828" s="91"/>
      <c r="AQ828" s="217"/>
      <c r="AR828" s="103"/>
      <c r="AS828" s="264"/>
      <c r="AT828" s="94"/>
      <c r="AU828" s="84"/>
      <c r="AV828" s="136"/>
      <c r="AW828" s="77"/>
      <c r="AX828" s="137"/>
      <c r="AY828" s="138"/>
      <c r="AZ828" s="220">
        <f t="shared" si="48"/>
        <v>0</v>
      </c>
      <c r="BA828" s="220">
        <f t="shared" si="49"/>
        <v>0</v>
      </c>
    </row>
    <row r="829" spans="1:53" ht="50.1" customHeight="1" x14ac:dyDescent="0.25">
      <c r="A829" s="17">
        <f t="shared" si="50"/>
        <v>815</v>
      </c>
      <c r="B829" s="228"/>
      <c r="C829" s="221"/>
      <c r="D829" s="88"/>
      <c r="E829" s="100"/>
      <c r="F829" s="95"/>
      <c r="G829" s="114"/>
      <c r="H829" s="96"/>
      <c r="I829" s="97"/>
      <c r="J829" s="98"/>
      <c r="K829" s="101"/>
      <c r="L829" s="124"/>
      <c r="M829" s="333"/>
      <c r="N829" s="341"/>
      <c r="O829" s="82"/>
      <c r="P829" s="93"/>
      <c r="Q829" s="82"/>
      <c r="R829" s="93"/>
      <c r="S829" s="298"/>
      <c r="T829" s="304"/>
      <c r="U829" s="307"/>
      <c r="V829" s="309"/>
      <c r="W829" s="248"/>
      <c r="X829" s="342"/>
      <c r="Y829" s="336"/>
      <c r="Z829" s="123"/>
      <c r="AA829" s="33"/>
      <c r="AB829" s="123"/>
      <c r="AC829" s="33"/>
      <c r="AD829" s="123"/>
      <c r="AE829" s="33"/>
      <c r="AF829" s="123"/>
      <c r="AG829" s="243"/>
      <c r="AH829" s="33"/>
      <c r="AI829" s="245"/>
      <c r="AJ829" s="125"/>
      <c r="AK829" s="91"/>
      <c r="AL829" s="126"/>
      <c r="AM829" s="91"/>
      <c r="AN829" s="91"/>
      <c r="AO829" s="197">
        <f t="shared" si="51"/>
        <v>0</v>
      </c>
      <c r="AP829" s="126"/>
      <c r="AQ829" s="216"/>
      <c r="AR829" s="127"/>
      <c r="AS829" s="269"/>
      <c r="AT829" s="94"/>
      <c r="AU829" s="84"/>
      <c r="AV829" s="80"/>
      <c r="AW829" s="81"/>
      <c r="AX829" s="77"/>
      <c r="AY829" s="107"/>
      <c r="AZ829" s="220">
        <f t="shared" si="48"/>
        <v>0</v>
      </c>
      <c r="BA829" s="220">
        <f t="shared" si="49"/>
        <v>0</v>
      </c>
    </row>
    <row r="830" spans="1:53" ht="50.1" customHeight="1" x14ac:dyDescent="0.25">
      <c r="A830" s="17">
        <f t="shared" si="50"/>
        <v>816</v>
      </c>
      <c r="B830" s="229"/>
      <c r="C830" s="222"/>
      <c r="D830" s="112"/>
      <c r="E830" s="128"/>
      <c r="F830" s="129"/>
      <c r="G830" s="130"/>
      <c r="H830" s="131"/>
      <c r="I830" s="132"/>
      <c r="J830" s="108"/>
      <c r="K830" s="133"/>
      <c r="L830" s="134"/>
      <c r="M830" s="334"/>
      <c r="N830" s="343"/>
      <c r="O830" s="135"/>
      <c r="P830" s="82"/>
      <c r="Q830" s="135"/>
      <c r="R830" s="82"/>
      <c r="S830" s="299"/>
      <c r="T830" s="305"/>
      <c r="U830" s="298"/>
      <c r="V830" s="304"/>
      <c r="W830" s="249"/>
      <c r="X830" s="344"/>
      <c r="Y830" s="337"/>
      <c r="Z830" s="33"/>
      <c r="AA830" s="83"/>
      <c r="AB830" s="33"/>
      <c r="AC830" s="83"/>
      <c r="AD830" s="33"/>
      <c r="AE830" s="83"/>
      <c r="AF830" s="33"/>
      <c r="AG830" s="244"/>
      <c r="AH830" s="83"/>
      <c r="AI830" s="246"/>
      <c r="AJ830" s="102"/>
      <c r="AK830" s="92"/>
      <c r="AL830" s="91"/>
      <c r="AM830" s="92"/>
      <c r="AN830" s="351"/>
      <c r="AO830" s="197">
        <f t="shared" si="51"/>
        <v>0</v>
      </c>
      <c r="AP830" s="91"/>
      <c r="AQ830" s="217"/>
      <c r="AR830" s="103"/>
      <c r="AS830" s="264"/>
      <c r="AT830" s="94"/>
      <c r="AU830" s="84"/>
      <c r="AV830" s="136"/>
      <c r="AW830" s="77"/>
      <c r="AX830" s="137"/>
      <c r="AY830" s="138"/>
      <c r="AZ830" s="220">
        <f t="shared" si="48"/>
        <v>0</v>
      </c>
      <c r="BA830" s="220">
        <f t="shared" si="49"/>
        <v>0</v>
      </c>
    </row>
    <row r="831" spans="1:53" ht="50.1" customHeight="1" x14ac:dyDescent="0.25">
      <c r="A831" s="17">
        <f t="shared" si="50"/>
        <v>817</v>
      </c>
      <c r="B831" s="228"/>
      <c r="C831" s="221"/>
      <c r="D831" s="88"/>
      <c r="E831" s="100"/>
      <c r="F831" s="95"/>
      <c r="G831" s="114"/>
      <c r="H831" s="96"/>
      <c r="I831" s="97"/>
      <c r="J831" s="98"/>
      <c r="K831" s="101"/>
      <c r="L831" s="124"/>
      <c r="M831" s="333"/>
      <c r="N831" s="341"/>
      <c r="O831" s="82"/>
      <c r="P831" s="93"/>
      <c r="Q831" s="82"/>
      <c r="R831" s="93"/>
      <c r="S831" s="298"/>
      <c r="T831" s="304"/>
      <c r="U831" s="307"/>
      <c r="V831" s="309"/>
      <c r="W831" s="248"/>
      <c r="X831" s="342"/>
      <c r="Y831" s="336"/>
      <c r="Z831" s="123"/>
      <c r="AA831" s="33"/>
      <c r="AB831" s="123"/>
      <c r="AC831" s="33"/>
      <c r="AD831" s="123"/>
      <c r="AE831" s="33"/>
      <c r="AF831" s="123"/>
      <c r="AG831" s="243"/>
      <c r="AH831" s="33"/>
      <c r="AI831" s="245"/>
      <c r="AJ831" s="125"/>
      <c r="AK831" s="91"/>
      <c r="AL831" s="126"/>
      <c r="AM831" s="91"/>
      <c r="AN831" s="91"/>
      <c r="AO831" s="197">
        <f t="shared" si="51"/>
        <v>0</v>
      </c>
      <c r="AP831" s="126"/>
      <c r="AQ831" s="216"/>
      <c r="AR831" s="127"/>
      <c r="AS831" s="269"/>
      <c r="AT831" s="94"/>
      <c r="AU831" s="84"/>
      <c r="AV831" s="80"/>
      <c r="AW831" s="81"/>
      <c r="AX831" s="77"/>
      <c r="AY831" s="107"/>
      <c r="AZ831" s="220">
        <f t="shared" si="48"/>
        <v>0</v>
      </c>
      <c r="BA831" s="220">
        <f t="shared" si="49"/>
        <v>0</v>
      </c>
    </row>
    <row r="832" spans="1:53" ht="50.1" customHeight="1" x14ac:dyDescent="0.25">
      <c r="A832" s="17">
        <f t="shared" si="50"/>
        <v>818</v>
      </c>
      <c r="B832" s="229"/>
      <c r="C832" s="222"/>
      <c r="D832" s="112"/>
      <c r="E832" s="128"/>
      <c r="F832" s="129"/>
      <c r="G832" s="130"/>
      <c r="H832" s="131"/>
      <c r="I832" s="132"/>
      <c r="J832" s="108"/>
      <c r="K832" s="133"/>
      <c r="L832" s="134"/>
      <c r="M832" s="334"/>
      <c r="N832" s="343"/>
      <c r="O832" s="135"/>
      <c r="P832" s="82"/>
      <c r="Q832" s="135"/>
      <c r="R832" s="82"/>
      <c r="S832" s="299"/>
      <c r="T832" s="305"/>
      <c r="U832" s="298"/>
      <c r="V832" s="304"/>
      <c r="W832" s="249"/>
      <c r="X832" s="344"/>
      <c r="Y832" s="337"/>
      <c r="Z832" s="33"/>
      <c r="AA832" s="83"/>
      <c r="AB832" s="33"/>
      <c r="AC832" s="83"/>
      <c r="AD832" s="33"/>
      <c r="AE832" s="83"/>
      <c r="AF832" s="33"/>
      <c r="AG832" s="244"/>
      <c r="AH832" s="83"/>
      <c r="AI832" s="246"/>
      <c r="AJ832" s="102"/>
      <c r="AK832" s="92"/>
      <c r="AL832" s="91"/>
      <c r="AM832" s="92"/>
      <c r="AN832" s="351"/>
      <c r="AO832" s="197">
        <f t="shared" si="51"/>
        <v>0</v>
      </c>
      <c r="AP832" s="91"/>
      <c r="AQ832" s="217"/>
      <c r="AR832" s="103"/>
      <c r="AS832" s="264"/>
      <c r="AT832" s="94"/>
      <c r="AU832" s="84"/>
      <c r="AV832" s="136"/>
      <c r="AW832" s="77"/>
      <c r="AX832" s="137"/>
      <c r="AY832" s="138"/>
      <c r="AZ832" s="220">
        <f t="shared" si="48"/>
        <v>0</v>
      </c>
      <c r="BA832" s="220">
        <f t="shared" si="49"/>
        <v>0</v>
      </c>
    </row>
    <row r="833" spans="1:53" ht="50.1" customHeight="1" x14ac:dyDescent="0.25">
      <c r="A833" s="17">
        <f t="shared" si="50"/>
        <v>819</v>
      </c>
      <c r="B833" s="228"/>
      <c r="C833" s="221"/>
      <c r="D833" s="88"/>
      <c r="E833" s="100"/>
      <c r="F833" s="95"/>
      <c r="G833" s="114"/>
      <c r="H833" s="96"/>
      <c r="I833" s="97"/>
      <c r="J833" s="98"/>
      <c r="K833" s="101"/>
      <c r="L833" s="124"/>
      <c r="M833" s="333"/>
      <c r="N833" s="341"/>
      <c r="O833" s="82"/>
      <c r="P833" s="93"/>
      <c r="Q833" s="82"/>
      <c r="R833" s="93"/>
      <c r="S833" s="298"/>
      <c r="T833" s="304"/>
      <c r="U833" s="307"/>
      <c r="V833" s="309"/>
      <c r="W833" s="248"/>
      <c r="X833" s="342"/>
      <c r="Y833" s="336"/>
      <c r="Z833" s="123"/>
      <c r="AA833" s="33"/>
      <c r="AB833" s="123"/>
      <c r="AC833" s="33"/>
      <c r="AD833" s="123"/>
      <c r="AE833" s="33"/>
      <c r="AF833" s="123"/>
      <c r="AG833" s="243"/>
      <c r="AH833" s="33"/>
      <c r="AI833" s="245"/>
      <c r="AJ833" s="125"/>
      <c r="AK833" s="91"/>
      <c r="AL833" s="126"/>
      <c r="AM833" s="91"/>
      <c r="AN833" s="91"/>
      <c r="AO833" s="197">
        <f t="shared" si="51"/>
        <v>0</v>
      </c>
      <c r="AP833" s="126"/>
      <c r="AQ833" s="216"/>
      <c r="AR833" s="127"/>
      <c r="AS833" s="269"/>
      <c r="AT833" s="94"/>
      <c r="AU833" s="84"/>
      <c r="AV833" s="80"/>
      <c r="AW833" s="81"/>
      <c r="AX833" s="77"/>
      <c r="AY833" s="107"/>
      <c r="AZ833" s="220">
        <f t="shared" si="48"/>
        <v>0</v>
      </c>
      <c r="BA833" s="220">
        <f t="shared" si="49"/>
        <v>0</v>
      </c>
    </row>
    <row r="834" spans="1:53" ht="50.1" customHeight="1" x14ac:dyDescent="0.25">
      <c r="A834" s="17">
        <f t="shared" si="50"/>
        <v>820</v>
      </c>
      <c r="B834" s="229"/>
      <c r="C834" s="222"/>
      <c r="D834" s="112"/>
      <c r="E834" s="128"/>
      <c r="F834" s="129"/>
      <c r="G834" s="130"/>
      <c r="H834" s="131"/>
      <c r="I834" s="132"/>
      <c r="J834" s="108"/>
      <c r="K834" s="133"/>
      <c r="L834" s="134"/>
      <c r="M834" s="334"/>
      <c r="N834" s="343"/>
      <c r="O834" s="135"/>
      <c r="P834" s="82"/>
      <c r="Q834" s="135"/>
      <c r="R834" s="82"/>
      <c r="S834" s="299"/>
      <c r="T834" s="305"/>
      <c r="U834" s="298"/>
      <c r="V834" s="304"/>
      <c r="W834" s="249"/>
      <c r="X834" s="344"/>
      <c r="Y834" s="337"/>
      <c r="Z834" s="33"/>
      <c r="AA834" s="83"/>
      <c r="AB834" s="33"/>
      <c r="AC834" s="83"/>
      <c r="AD834" s="33"/>
      <c r="AE834" s="83"/>
      <c r="AF834" s="33"/>
      <c r="AG834" s="244"/>
      <c r="AH834" s="83"/>
      <c r="AI834" s="246"/>
      <c r="AJ834" s="102"/>
      <c r="AK834" s="92"/>
      <c r="AL834" s="91"/>
      <c r="AM834" s="92"/>
      <c r="AN834" s="351"/>
      <c r="AO834" s="197">
        <f t="shared" si="51"/>
        <v>0</v>
      </c>
      <c r="AP834" s="91"/>
      <c r="AQ834" s="217"/>
      <c r="AR834" s="103"/>
      <c r="AS834" s="264"/>
      <c r="AT834" s="94"/>
      <c r="AU834" s="84"/>
      <c r="AV834" s="136"/>
      <c r="AW834" s="77"/>
      <c r="AX834" s="137"/>
      <c r="AY834" s="138"/>
      <c r="AZ834" s="220">
        <f t="shared" si="48"/>
        <v>0</v>
      </c>
      <c r="BA834" s="220">
        <f t="shared" si="49"/>
        <v>0</v>
      </c>
    </row>
    <row r="835" spans="1:53" ht="50.1" customHeight="1" x14ac:dyDescent="0.25">
      <c r="A835" s="17">
        <f t="shared" si="50"/>
        <v>821</v>
      </c>
      <c r="B835" s="228"/>
      <c r="C835" s="221"/>
      <c r="D835" s="88"/>
      <c r="E835" s="100"/>
      <c r="F835" s="95"/>
      <c r="G835" s="114"/>
      <c r="H835" s="96"/>
      <c r="I835" s="97"/>
      <c r="J835" s="98"/>
      <c r="K835" s="101"/>
      <c r="L835" s="124"/>
      <c r="M835" s="333"/>
      <c r="N835" s="341"/>
      <c r="O835" s="82"/>
      <c r="P835" s="93"/>
      <c r="Q835" s="82"/>
      <c r="R835" s="93"/>
      <c r="S835" s="298"/>
      <c r="T835" s="304"/>
      <c r="U835" s="307"/>
      <c r="V835" s="309"/>
      <c r="W835" s="248"/>
      <c r="X835" s="342"/>
      <c r="Y835" s="336"/>
      <c r="Z835" s="123"/>
      <c r="AA835" s="33"/>
      <c r="AB835" s="123"/>
      <c r="AC835" s="33"/>
      <c r="AD835" s="123"/>
      <c r="AE835" s="33"/>
      <c r="AF835" s="123"/>
      <c r="AG835" s="243"/>
      <c r="AH835" s="33"/>
      <c r="AI835" s="245"/>
      <c r="AJ835" s="125"/>
      <c r="AK835" s="91"/>
      <c r="AL835" s="126"/>
      <c r="AM835" s="91"/>
      <c r="AN835" s="91"/>
      <c r="AO835" s="197">
        <f t="shared" si="51"/>
        <v>0</v>
      </c>
      <c r="AP835" s="126"/>
      <c r="AQ835" s="216"/>
      <c r="AR835" s="127"/>
      <c r="AS835" s="269"/>
      <c r="AT835" s="94"/>
      <c r="AU835" s="84"/>
      <c r="AV835" s="80"/>
      <c r="AW835" s="81"/>
      <c r="AX835" s="77"/>
      <c r="AY835" s="107"/>
      <c r="AZ835" s="220">
        <f t="shared" si="48"/>
        <v>0</v>
      </c>
      <c r="BA835" s="220">
        <f t="shared" si="49"/>
        <v>0</v>
      </c>
    </row>
    <row r="836" spans="1:53" ht="50.1" customHeight="1" x14ac:dyDescent="0.25">
      <c r="A836" s="17">
        <f t="shared" si="50"/>
        <v>822</v>
      </c>
      <c r="B836" s="229"/>
      <c r="C836" s="222"/>
      <c r="D836" s="112"/>
      <c r="E836" s="128"/>
      <c r="F836" s="129"/>
      <c r="G836" s="130"/>
      <c r="H836" s="131"/>
      <c r="I836" s="132"/>
      <c r="J836" s="108"/>
      <c r="K836" s="133"/>
      <c r="L836" s="134"/>
      <c r="M836" s="334"/>
      <c r="N836" s="343"/>
      <c r="O836" s="135"/>
      <c r="P836" s="82"/>
      <c r="Q836" s="135"/>
      <c r="R836" s="82"/>
      <c r="S836" s="299"/>
      <c r="T836" s="305"/>
      <c r="U836" s="298"/>
      <c r="V836" s="304"/>
      <c r="W836" s="249"/>
      <c r="X836" s="344"/>
      <c r="Y836" s="337"/>
      <c r="Z836" s="33"/>
      <c r="AA836" s="83"/>
      <c r="AB836" s="33"/>
      <c r="AC836" s="83"/>
      <c r="AD836" s="33"/>
      <c r="AE836" s="83"/>
      <c r="AF836" s="33"/>
      <c r="AG836" s="244"/>
      <c r="AH836" s="83"/>
      <c r="AI836" s="246"/>
      <c r="AJ836" s="102"/>
      <c r="AK836" s="92"/>
      <c r="AL836" s="91"/>
      <c r="AM836" s="92"/>
      <c r="AN836" s="351"/>
      <c r="AO836" s="197">
        <f t="shared" si="51"/>
        <v>0</v>
      </c>
      <c r="AP836" s="91"/>
      <c r="AQ836" s="217"/>
      <c r="AR836" s="103"/>
      <c r="AS836" s="264"/>
      <c r="AT836" s="94"/>
      <c r="AU836" s="84"/>
      <c r="AV836" s="136"/>
      <c r="AW836" s="77"/>
      <c r="AX836" s="137"/>
      <c r="AY836" s="138"/>
      <c r="AZ836" s="220">
        <f t="shared" si="48"/>
        <v>0</v>
      </c>
      <c r="BA836" s="220">
        <f t="shared" si="49"/>
        <v>0</v>
      </c>
    </row>
    <row r="837" spans="1:53" ht="50.1" customHeight="1" x14ac:dyDescent="0.25">
      <c r="A837" s="17">
        <f t="shared" si="50"/>
        <v>823</v>
      </c>
      <c r="B837" s="228"/>
      <c r="C837" s="221"/>
      <c r="D837" s="88"/>
      <c r="E837" s="100"/>
      <c r="F837" s="95"/>
      <c r="G837" s="114"/>
      <c r="H837" s="96"/>
      <c r="I837" s="97"/>
      <c r="J837" s="98"/>
      <c r="K837" s="101"/>
      <c r="L837" s="124"/>
      <c r="M837" s="333"/>
      <c r="N837" s="341"/>
      <c r="O837" s="82"/>
      <c r="P837" s="93"/>
      <c r="Q837" s="82"/>
      <c r="R837" s="93"/>
      <c r="S837" s="298"/>
      <c r="T837" s="304"/>
      <c r="U837" s="307"/>
      <c r="V837" s="309"/>
      <c r="W837" s="248"/>
      <c r="X837" s="342"/>
      <c r="Y837" s="336"/>
      <c r="Z837" s="123"/>
      <c r="AA837" s="33"/>
      <c r="AB837" s="123"/>
      <c r="AC837" s="33"/>
      <c r="AD837" s="123"/>
      <c r="AE837" s="33"/>
      <c r="AF837" s="123"/>
      <c r="AG837" s="243"/>
      <c r="AH837" s="33"/>
      <c r="AI837" s="245"/>
      <c r="AJ837" s="125"/>
      <c r="AK837" s="91"/>
      <c r="AL837" s="126"/>
      <c r="AM837" s="91"/>
      <c r="AN837" s="91"/>
      <c r="AO837" s="197">
        <f t="shared" si="51"/>
        <v>0</v>
      </c>
      <c r="AP837" s="126"/>
      <c r="AQ837" s="216"/>
      <c r="AR837" s="127"/>
      <c r="AS837" s="269"/>
      <c r="AT837" s="94"/>
      <c r="AU837" s="84"/>
      <c r="AV837" s="80"/>
      <c r="AW837" s="81"/>
      <c r="AX837" s="77"/>
      <c r="AY837" s="107"/>
      <c r="AZ837" s="220">
        <f t="shared" si="48"/>
        <v>0</v>
      </c>
      <c r="BA837" s="220">
        <f t="shared" si="49"/>
        <v>0</v>
      </c>
    </row>
    <row r="838" spans="1:53" ht="50.1" customHeight="1" x14ac:dyDescent="0.25">
      <c r="A838" s="17">
        <f t="shared" si="50"/>
        <v>824</v>
      </c>
      <c r="B838" s="229"/>
      <c r="C838" s="222"/>
      <c r="D838" s="112"/>
      <c r="E838" s="128"/>
      <c r="F838" s="129"/>
      <c r="G838" s="130"/>
      <c r="H838" s="131"/>
      <c r="I838" s="132"/>
      <c r="J838" s="108"/>
      <c r="K838" s="133"/>
      <c r="L838" s="134"/>
      <c r="M838" s="334"/>
      <c r="N838" s="343"/>
      <c r="O838" s="135"/>
      <c r="P838" s="82"/>
      <c r="Q838" s="135"/>
      <c r="R838" s="82"/>
      <c r="S838" s="299"/>
      <c r="T838" s="305"/>
      <c r="U838" s="298"/>
      <c r="V838" s="304"/>
      <c r="W838" s="249"/>
      <c r="X838" s="344"/>
      <c r="Y838" s="337"/>
      <c r="Z838" s="33"/>
      <c r="AA838" s="83"/>
      <c r="AB838" s="33"/>
      <c r="AC838" s="83"/>
      <c r="AD838" s="33"/>
      <c r="AE838" s="83"/>
      <c r="AF838" s="33"/>
      <c r="AG838" s="244"/>
      <c r="AH838" s="83"/>
      <c r="AI838" s="246"/>
      <c r="AJ838" s="102"/>
      <c r="AK838" s="92"/>
      <c r="AL838" s="91"/>
      <c r="AM838" s="92"/>
      <c r="AN838" s="351"/>
      <c r="AO838" s="197">
        <f t="shared" si="51"/>
        <v>0</v>
      </c>
      <c r="AP838" s="91"/>
      <c r="AQ838" s="217"/>
      <c r="AR838" s="103"/>
      <c r="AS838" s="264"/>
      <c r="AT838" s="94"/>
      <c r="AU838" s="84"/>
      <c r="AV838" s="136"/>
      <c r="AW838" s="77"/>
      <c r="AX838" s="137"/>
      <c r="AY838" s="138"/>
      <c r="AZ838" s="220">
        <f t="shared" si="48"/>
        <v>0</v>
      </c>
      <c r="BA838" s="220">
        <f t="shared" si="49"/>
        <v>0</v>
      </c>
    </row>
    <row r="839" spans="1:53" ht="50.1" customHeight="1" x14ac:dyDescent="0.25">
      <c r="A839" s="17">
        <f t="shared" si="50"/>
        <v>825</v>
      </c>
      <c r="B839" s="228"/>
      <c r="C839" s="221"/>
      <c r="D839" s="88"/>
      <c r="E839" s="100"/>
      <c r="F839" s="95"/>
      <c r="G839" s="114"/>
      <c r="H839" s="96"/>
      <c r="I839" s="97"/>
      <c r="J839" s="98"/>
      <c r="K839" s="101"/>
      <c r="L839" s="124"/>
      <c r="M839" s="333"/>
      <c r="N839" s="341"/>
      <c r="O839" s="82"/>
      <c r="P839" s="93"/>
      <c r="Q839" s="82"/>
      <c r="R839" s="93"/>
      <c r="S839" s="298"/>
      <c r="T839" s="304"/>
      <c r="U839" s="307"/>
      <c r="V839" s="309"/>
      <c r="W839" s="248"/>
      <c r="X839" s="342"/>
      <c r="Y839" s="336"/>
      <c r="Z839" s="123"/>
      <c r="AA839" s="33"/>
      <c r="AB839" s="123"/>
      <c r="AC839" s="33"/>
      <c r="AD839" s="123"/>
      <c r="AE839" s="33"/>
      <c r="AF839" s="123"/>
      <c r="AG839" s="243"/>
      <c r="AH839" s="33"/>
      <c r="AI839" s="245"/>
      <c r="AJ839" s="125"/>
      <c r="AK839" s="91"/>
      <c r="AL839" s="126"/>
      <c r="AM839" s="91"/>
      <c r="AN839" s="91"/>
      <c r="AO839" s="197">
        <f t="shared" si="51"/>
        <v>0</v>
      </c>
      <c r="AP839" s="126"/>
      <c r="AQ839" s="216"/>
      <c r="AR839" s="127"/>
      <c r="AS839" s="269"/>
      <c r="AT839" s="94"/>
      <c r="AU839" s="84"/>
      <c r="AV839" s="80"/>
      <c r="AW839" s="81"/>
      <c r="AX839" s="77"/>
      <c r="AY839" s="107"/>
      <c r="AZ839" s="220">
        <f t="shared" si="48"/>
        <v>0</v>
      </c>
      <c r="BA839" s="220">
        <f t="shared" si="49"/>
        <v>0</v>
      </c>
    </row>
    <row r="840" spans="1:53" ht="50.1" customHeight="1" x14ac:dyDescent="0.25">
      <c r="A840" s="17">
        <f t="shared" si="50"/>
        <v>826</v>
      </c>
      <c r="B840" s="229"/>
      <c r="C840" s="222"/>
      <c r="D840" s="112"/>
      <c r="E840" s="128"/>
      <c r="F840" s="129"/>
      <c r="G840" s="130"/>
      <c r="H840" s="131"/>
      <c r="I840" s="132"/>
      <c r="J840" s="108"/>
      <c r="K840" s="133"/>
      <c r="L840" s="134"/>
      <c r="M840" s="334"/>
      <c r="N840" s="343"/>
      <c r="O840" s="135"/>
      <c r="P840" s="82"/>
      <c r="Q840" s="135"/>
      <c r="R840" s="82"/>
      <c r="S840" s="299"/>
      <c r="T840" s="305"/>
      <c r="U840" s="298"/>
      <c r="V840" s="304"/>
      <c r="W840" s="249"/>
      <c r="X840" s="344"/>
      <c r="Y840" s="337"/>
      <c r="Z840" s="33"/>
      <c r="AA840" s="83"/>
      <c r="AB840" s="33"/>
      <c r="AC840" s="83"/>
      <c r="AD840" s="33"/>
      <c r="AE840" s="83"/>
      <c r="AF840" s="33"/>
      <c r="AG840" s="244"/>
      <c r="AH840" s="83"/>
      <c r="AI840" s="246"/>
      <c r="AJ840" s="102"/>
      <c r="AK840" s="92"/>
      <c r="AL840" s="91"/>
      <c r="AM840" s="92"/>
      <c r="AN840" s="351"/>
      <c r="AO840" s="197">
        <f t="shared" si="51"/>
        <v>0</v>
      </c>
      <c r="AP840" s="91"/>
      <c r="AQ840" s="217"/>
      <c r="AR840" s="103"/>
      <c r="AS840" s="264"/>
      <c r="AT840" s="94"/>
      <c r="AU840" s="84"/>
      <c r="AV840" s="136"/>
      <c r="AW840" s="77"/>
      <c r="AX840" s="137"/>
      <c r="AY840" s="138"/>
      <c r="AZ840" s="220">
        <f t="shared" si="48"/>
        <v>0</v>
      </c>
      <c r="BA840" s="220">
        <f t="shared" si="49"/>
        <v>0</v>
      </c>
    </row>
    <row r="841" spans="1:53" ht="50.1" customHeight="1" x14ac:dyDescent="0.25">
      <c r="A841" s="17">
        <f t="shared" si="50"/>
        <v>827</v>
      </c>
      <c r="B841" s="228"/>
      <c r="C841" s="221"/>
      <c r="D841" s="88"/>
      <c r="E841" s="100"/>
      <c r="F841" s="95"/>
      <c r="G841" s="114"/>
      <c r="H841" s="96"/>
      <c r="I841" s="97"/>
      <c r="J841" s="98"/>
      <c r="K841" s="101"/>
      <c r="L841" s="124"/>
      <c r="M841" s="333"/>
      <c r="N841" s="341"/>
      <c r="O841" s="82"/>
      <c r="P841" s="93"/>
      <c r="Q841" s="82"/>
      <c r="R841" s="93"/>
      <c r="S841" s="298"/>
      <c r="T841" s="304"/>
      <c r="U841" s="307"/>
      <c r="V841" s="309"/>
      <c r="W841" s="248"/>
      <c r="X841" s="342"/>
      <c r="Y841" s="336"/>
      <c r="Z841" s="123"/>
      <c r="AA841" s="33"/>
      <c r="AB841" s="123"/>
      <c r="AC841" s="33"/>
      <c r="AD841" s="123"/>
      <c r="AE841" s="33"/>
      <c r="AF841" s="123"/>
      <c r="AG841" s="243"/>
      <c r="AH841" s="33"/>
      <c r="AI841" s="245"/>
      <c r="AJ841" s="125"/>
      <c r="AK841" s="91"/>
      <c r="AL841" s="126"/>
      <c r="AM841" s="91"/>
      <c r="AN841" s="91"/>
      <c r="AO841" s="197">
        <f t="shared" si="51"/>
        <v>0</v>
      </c>
      <c r="AP841" s="126"/>
      <c r="AQ841" s="216"/>
      <c r="AR841" s="127"/>
      <c r="AS841" s="269"/>
      <c r="AT841" s="94"/>
      <c r="AU841" s="84"/>
      <c r="AV841" s="80"/>
      <c r="AW841" s="81"/>
      <c r="AX841" s="77"/>
      <c r="AY841" s="107"/>
      <c r="AZ841" s="220">
        <f t="shared" si="48"/>
        <v>0</v>
      </c>
      <c r="BA841" s="220">
        <f t="shared" si="49"/>
        <v>0</v>
      </c>
    </row>
    <row r="842" spans="1:53" ht="50.1" customHeight="1" x14ac:dyDescent="0.25">
      <c r="A842" s="17">
        <f t="shared" si="50"/>
        <v>828</v>
      </c>
      <c r="B842" s="229"/>
      <c r="C842" s="222"/>
      <c r="D842" s="112"/>
      <c r="E842" s="128"/>
      <c r="F842" s="129"/>
      <c r="G842" s="130"/>
      <c r="H842" s="131"/>
      <c r="I842" s="132"/>
      <c r="J842" s="108"/>
      <c r="K842" s="133"/>
      <c r="L842" s="134"/>
      <c r="M842" s="334"/>
      <c r="N842" s="343"/>
      <c r="O842" s="135"/>
      <c r="P842" s="82"/>
      <c r="Q842" s="135"/>
      <c r="R842" s="82"/>
      <c r="S842" s="299"/>
      <c r="T842" s="305"/>
      <c r="U842" s="298"/>
      <c r="V842" s="304"/>
      <c r="W842" s="249"/>
      <c r="X842" s="344"/>
      <c r="Y842" s="337"/>
      <c r="Z842" s="33"/>
      <c r="AA842" s="83"/>
      <c r="AB842" s="33"/>
      <c r="AC842" s="83"/>
      <c r="AD842" s="33"/>
      <c r="AE842" s="83"/>
      <c r="AF842" s="33"/>
      <c r="AG842" s="244"/>
      <c r="AH842" s="83"/>
      <c r="AI842" s="246"/>
      <c r="AJ842" s="102"/>
      <c r="AK842" s="92"/>
      <c r="AL842" s="91"/>
      <c r="AM842" s="92"/>
      <c r="AN842" s="351"/>
      <c r="AO842" s="197">
        <f t="shared" si="51"/>
        <v>0</v>
      </c>
      <c r="AP842" s="91"/>
      <c r="AQ842" s="217"/>
      <c r="AR842" s="103"/>
      <c r="AS842" s="264"/>
      <c r="AT842" s="94"/>
      <c r="AU842" s="84"/>
      <c r="AV842" s="136"/>
      <c r="AW842" s="77"/>
      <c r="AX842" s="137"/>
      <c r="AY842" s="138"/>
      <c r="AZ842" s="220">
        <f t="shared" si="48"/>
        <v>0</v>
      </c>
      <c r="BA842" s="220">
        <f t="shared" si="49"/>
        <v>0</v>
      </c>
    </row>
    <row r="843" spans="1:53" ht="50.1" customHeight="1" x14ac:dyDescent="0.25">
      <c r="A843" s="17">
        <f t="shared" si="50"/>
        <v>829</v>
      </c>
      <c r="B843" s="228"/>
      <c r="C843" s="221"/>
      <c r="D843" s="88"/>
      <c r="E843" s="100"/>
      <c r="F843" s="95"/>
      <c r="G843" s="114"/>
      <c r="H843" s="96"/>
      <c r="I843" s="97"/>
      <c r="J843" s="98"/>
      <c r="K843" s="101"/>
      <c r="L843" s="124"/>
      <c r="M843" s="333"/>
      <c r="N843" s="341"/>
      <c r="O843" s="82"/>
      <c r="P843" s="93"/>
      <c r="Q843" s="82"/>
      <c r="R843" s="93"/>
      <c r="S843" s="298"/>
      <c r="T843" s="304"/>
      <c r="U843" s="307"/>
      <c r="V843" s="309"/>
      <c r="W843" s="248"/>
      <c r="X843" s="342"/>
      <c r="Y843" s="336"/>
      <c r="Z843" s="123"/>
      <c r="AA843" s="33"/>
      <c r="AB843" s="123"/>
      <c r="AC843" s="33"/>
      <c r="AD843" s="123"/>
      <c r="AE843" s="33"/>
      <c r="AF843" s="123"/>
      <c r="AG843" s="243"/>
      <c r="AH843" s="33"/>
      <c r="AI843" s="245"/>
      <c r="AJ843" s="125"/>
      <c r="AK843" s="91"/>
      <c r="AL843" s="126"/>
      <c r="AM843" s="91"/>
      <c r="AN843" s="91"/>
      <c r="AO843" s="197">
        <f t="shared" si="51"/>
        <v>0</v>
      </c>
      <c r="AP843" s="126"/>
      <c r="AQ843" s="216"/>
      <c r="AR843" s="127"/>
      <c r="AS843" s="269"/>
      <c r="AT843" s="94"/>
      <c r="AU843" s="84"/>
      <c r="AV843" s="80"/>
      <c r="AW843" s="81"/>
      <c r="AX843" s="77"/>
      <c r="AY843" s="107"/>
      <c r="AZ843" s="220">
        <f t="shared" si="48"/>
        <v>0</v>
      </c>
      <c r="BA843" s="220">
        <f t="shared" si="49"/>
        <v>0</v>
      </c>
    </row>
    <row r="844" spans="1:53" ht="50.1" customHeight="1" x14ac:dyDescent="0.25">
      <c r="A844" s="17">
        <f t="shared" si="50"/>
        <v>830</v>
      </c>
      <c r="B844" s="229"/>
      <c r="C844" s="222"/>
      <c r="D844" s="112"/>
      <c r="E844" s="128"/>
      <c r="F844" s="129"/>
      <c r="G844" s="130"/>
      <c r="H844" s="131"/>
      <c r="I844" s="132"/>
      <c r="J844" s="108"/>
      <c r="K844" s="133"/>
      <c r="L844" s="134"/>
      <c r="M844" s="334"/>
      <c r="N844" s="343"/>
      <c r="O844" s="135"/>
      <c r="P844" s="82"/>
      <c r="Q844" s="135"/>
      <c r="R844" s="82"/>
      <c r="S844" s="299"/>
      <c r="T844" s="305"/>
      <c r="U844" s="298"/>
      <c r="V844" s="304"/>
      <c r="W844" s="249"/>
      <c r="X844" s="344"/>
      <c r="Y844" s="337"/>
      <c r="Z844" s="33"/>
      <c r="AA844" s="83"/>
      <c r="AB844" s="33"/>
      <c r="AC844" s="83"/>
      <c r="AD844" s="33"/>
      <c r="AE844" s="83"/>
      <c r="AF844" s="33"/>
      <c r="AG844" s="244"/>
      <c r="AH844" s="83"/>
      <c r="AI844" s="246"/>
      <c r="AJ844" s="102"/>
      <c r="AK844" s="92"/>
      <c r="AL844" s="91"/>
      <c r="AM844" s="92"/>
      <c r="AN844" s="351"/>
      <c r="AO844" s="197">
        <f t="shared" si="51"/>
        <v>0</v>
      </c>
      <c r="AP844" s="91"/>
      <c r="AQ844" s="217"/>
      <c r="AR844" s="103"/>
      <c r="AS844" s="264"/>
      <c r="AT844" s="94"/>
      <c r="AU844" s="84"/>
      <c r="AV844" s="136"/>
      <c r="AW844" s="77"/>
      <c r="AX844" s="137"/>
      <c r="AY844" s="138"/>
      <c r="AZ844" s="220">
        <f t="shared" si="48"/>
        <v>0</v>
      </c>
      <c r="BA844" s="220">
        <f t="shared" si="49"/>
        <v>0</v>
      </c>
    </row>
    <row r="845" spans="1:53" ht="50.1" customHeight="1" x14ac:dyDescent="0.25">
      <c r="A845" s="17">
        <f t="shared" si="50"/>
        <v>831</v>
      </c>
      <c r="B845" s="228"/>
      <c r="C845" s="221"/>
      <c r="D845" s="88"/>
      <c r="E845" s="100"/>
      <c r="F845" s="95"/>
      <c r="G845" s="114"/>
      <c r="H845" s="96"/>
      <c r="I845" s="97"/>
      <c r="J845" s="98"/>
      <c r="K845" s="101"/>
      <c r="L845" s="124"/>
      <c r="M845" s="333"/>
      <c r="N845" s="341"/>
      <c r="O845" s="82"/>
      <c r="P845" s="93"/>
      <c r="Q845" s="82"/>
      <c r="R845" s="93"/>
      <c r="S845" s="298"/>
      <c r="T845" s="304"/>
      <c r="U845" s="307"/>
      <c r="V845" s="309"/>
      <c r="W845" s="248"/>
      <c r="X845" s="342"/>
      <c r="Y845" s="336"/>
      <c r="Z845" s="123"/>
      <c r="AA845" s="33"/>
      <c r="AB845" s="123"/>
      <c r="AC845" s="33"/>
      <c r="AD845" s="123"/>
      <c r="AE845" s="33"/>
      <c r="AF845" s="123"/>
      <c r="AG845" s="243"/>
      <c r="AH845" s="33"/>
      <c r="AI845" s="245"/>
      <c r="AJ845" s="125"/>
      <c r="AK845" s="91"/>
      <c r="AL845" s="126"/>
      <c r="AM845" s="91"/>
      <c r="AN845" s="91"/>
      <c r="AO845" s="197">
        <f t="shared" si="51"/>
        <v>0</v>
      </c>
      <c r="AP845" s="126"/>
      <c r="AQ845" s="216"/>
      <c r="AR845" s="127"/>
      <c r="AS845" s="269"/>
      <c r="AT845" s="94"/>
      <c r="AU845" s="84"/>
      <c r="AV845" s="80"/>
      <c r="AW845" s="81"/>
      <c r="AX845" s="77"/>
      <c r="AY845" s="107"/>
      <c r="AZ845" s="220">
        <f t="shared" si="48"/>
        <v>0</v>
      </c>
      <c r="BA845" s="220">
        <f t="shared" si="49"/>
        <v>0</v>
      </c>
    </row>
    <row r="846" spans="1:53" ht="50.1" customHeight="1" x14ac:dyDescent="0.25">
      <c r="A846" s="17">
        <f t="shared" si="50"/>
        <v>832</v>
      </c>
      <c r="B846" s="229"/>
      <c r="C846" s="222"/>
      <c r="D846" s="112"/>
      <c r="E846" s="128"/>
      <c r="F846" s="129"/>
      <c r="G846" s="130"/>
      <c r="H846" s="131"/>
      <c r="I846" s="132"/>
      <c r="J846" s="108"/>
      <c r="K846" s="133"/>
      <c r="L846" s="134"/>
      <c r="M846" s="334"/>
      <c r="N846" s="343"/>
      <c r="O846" s="135"/>
      <c r="P846" s="82"/>
      <c r="Q846" s="135"/>
      <c r="R846" s="82"/>
      <c r="S846" s="299"/>
      <c r="T846" s="305"/>
      <c r="U846" s="298"/>
      <c r="V846" s="304"/>
      <c r="W846" s="249"/>
      <c r="X846" s="344"/>
      <c r="Y846" s="337"/>
      <c r="Z846" s="33"/>
      <c r="AA846" s="83"/>
      <c r="AB846" s="33"/>
      <c r="AC846" s="83"/>
      <c r="AD846" s="33"/>
      <c r="AE846" s="83"/>
      <c r="AF846" s="33"/>
      <c r="AG846" s="244"/>
      <c r="AH846" s="83"/>
      <c r="AI846" s="246"/>
      <c r="AJ846" s="102"/>
      <c r="AK846" s="92"/>
      <c r="AL846" s="91"/>
      <c r="AM846" s="92"/>
      <c r="AN846" s="351"/>
      <c r="AO846" s="197">
        <f t="shared" si="51"/>
        <v>0</v>
      </c>
      <c r="AP846" s="91"/>
      <c r="AQ846" s="217"/>
      <c r="AR846" s="103"/>
      <c r="AS846" s="264"/>
      <c r="AT846" s="94"/>
      <c r="AU846" s="84"/>
      <c r="AV846" s="136"/>
      <c r="AW846" s="77"/>
      <c r="AX846" s="137"/>
      <c r="AY846" s="138"/>
      <c r="AZ846" s="220">
        <f t="shared" si="48"/>
        <v>0</v>
      </c>
      <c r="BA846" s="220">
        <f t="shared" si="49"/>
        <v>0</v>
      </c>
    </row>
    <row r="847" spans="1:53" ht="50.1" customHeight="1" x14ac:dyDescent="0.25">
      <c r="A847" s="17">
        <f t="shared" si="50"/>
        <v>833</v>
      </c>
      <c r="B847" s="228"/>
      <c r="C847" s="221"/>
      <c r="D847" s="88"/>
      <c r="E847" s="100"/>
      <c r="F847" s="95"/>
      <c r="G847" s="114"/>
      <c r="H847" s="96"/>
      <c r="I847" s="97"/>
      <c r="J847" s="98"/>
      <c r="K847" s="101"/>
      <c r="L847" s="124"/>
      <c r="M847" s="333"/>
      <c r="N847" s="341"/>
      <c r="O847" s="82"/>
      <c r="P847" s="93"/>
      <c r="Q847" s="82"/>
      <c r="R847" s="93"/>
      <c r="S847" s="298"/>
      <c r="T847" s="304"/>
      <c r="U847" s="307"/>
      <c r="V847" s="309"/>
      <c r="W847" s="248"/>
      <c r="X847" s="342"/>
      <c r="Y847" s="336"/>
      <c r="Z847" s="123"/>
      <c r="AA847" s="33"/>
      <c r="AB847" s="123"/>
      <c r="AC847" s="33"/>
      <c r="AD847" s="123"/>
      <c r="AE847" s="33"/>
      <c r="AF847" s="123"/>
      <c r="AG847" s="243"/>
      <c r="AH847" s="33"/>
      <c r="AI847" s="245"/>
      <c r="AJ847" s="125"/>
      <c r="AK847" s="91"/>
      <c r="AL847" s="126"/>
      <c r="AM847" s="91"/>
      <c r="AN847" s="91"/>
      <c r="AO847" s="197">
        <f t="shared" si="51"/>
        <v>0</v>
      </c>
      <c r="AP847" s="126"/>
      <c r="AQ847" s="216"/>
      <c r="AR847" s="127"/>
      <c r="AS847" s="269"/>
      <c r="AT847" s="94"/>
      <c r="AU847" s="84"/>
      <c r="AV847" s="80"/>
      <c r="AW847" s="81"/>
      <c r="AX847" s="77"/>
      <c r="AY847" s="107"/>
      <c r="AZ847" s="220">
        <f t="shared" ref="AZ847:AZ910" si="52">M847-B847</f>
        <v>0</v>
      </c>
      <c r="BA847" s="220">
        <f t="shared" ref="BA847:BA910" si="53">AU847-M847</f>
        <v>0</v>
      </c>
    </row>
    <row r="848" spans="1:53" ht="50.1" customHeight="1" x14ac:dyDescent="0.25">
      <c r="A848" s="17">
        <f t="shared" ref="A848:A911" si="54">ROW(A834)</f>
        <v>834</v>
      </c>
      <c r="B848" s="229"/>
      <c r="C848" s="222"/>
      <c r="D848" s="112"/>
      <c r="E848" s="128"/>
      <c r="F848" s="129"/>
      <c r="G848" s="130"/>
      <c r="H848" s="131"/>
      <c r="I848" s="132"/>
      <c r="J848" s="108"/>
      <c r="K848" s="133"/>
      <c r="L848" s="134"/>
      <c r="M848" s="334"/>
      <c r="N848" s="343"/>
      <c r="O848" s="135"/>
      <c r="P848" s="82"/>
      <c r="Q848" s="135"/>
      <c r="R848" s="82"/>
      <c r="S848" s="299"/>
      <c r="T848" s="305"/>
      <c r="U848" s="298"/>
      <c r="V848" s="304"/>
      <c r="W848" s="249"/>
      <c r="X848" s="344"/>
      <c r="Y848" s="337"/>
      <c r="Z848" s="33"/>
      <c r="AA848" s="83"/>
      <c r="AB848" s="33"/>
      <c r="AC848" s="83"/>
      <c r="AD848" s="33"/>
      <c r="AE848" s="83"/>
      <c r="AF848" s="33"/>
      <c r="AG848" s="244"/>
      <c r="AH848" s="83"/>
      <c r="AI848" s="246"/>
      <c r="AJ848" s="102"/>
      <c r="AK848" s="92"/>
      <c r="AL848" s="91"/>
      <c r="AM848" s="92"/>
      <c r="AN848" s="351"/>
      <c r="AO848" s="197">
        <f t="shared" ref="AO848:AO911" si="55">AJ848-AK848-AL848-AM848-AN848</f>
        <v>0</v>
      </c>
      <c r="AP848" s="91"/>
      <c r="AQ848" s="217"/>
      <c r="AR848" s="103"/>
      <c r="AS848" s="264"/>
      <c r="AT848" s="94"/>
      <c r="AU848" s="84"/>
      <c r="AV848" s="136"/>
      <c r="AW848" s="77"/>
      <c r="AX848" s="137"/>
      <c r="AY848" s="138"/>
      <c r="AZ848" s="220">
        <f t="shared" si="52"/>
        <v>0</v>
      </c>
      <c r="BA848" s="220">
        <f t="shared" si="53"/>
        <v>0</v>
      </c>
    </row>
    <row r="849" spans="1:53" ht="50.1" customHeight="1" x14ac:dyDescent="0.25">
      <c r="A849" s="17">
        <f t="shared" si="54"/>
        <v>835</v>
      </c>
      <c r="B849" s="228"/>
      <c r="C849" s="221"/>
      <c r="D849" s="88"/>
      <c r="E849" s="100"/>
      <c r="F849" s="95"/>
      <c r="G849" s="114"/>
      <c r="H849" s="96"/>
      <c r="I849" s="97"/>
      <c r="J849" s="98"/>
      <c r="K849" s="101"/>
      <c r="L849" s="124"/>
      <c r="M849" s="333"/>
      <c r="N849" s="341"/>
      <c r="O849" s="82"/>
      <c r="P849" s="93"/>
      <c r="Q849" s="82"/>
      <c r="R849" s="93"/>
      <c r="S849" s="298"/>
      <c r="T849" s="304"/>
      <c r="U849" s="307"/>
      <c r="V849" s="309"/>
      <c r="W849" s="248"/>
      <c r="X849" s="342"/>
      <c r="Y849" s="336"/>
      <c r="Z849" s="123"/>
      <c r="AA849" s="33"/>
      <c r="AB849" s="123"/>
      <c r="AC849" s="33"/>
      <c r="AD849" s="123"/>
      <c r="AE849" s="33"/>
      <c r="AF849" s="123"/>
      <c r="AG849" s="243"/>
      <c r="AH849" s="33"/>
      <c r="AI849" s="245"/>
      <c r="AJ849" s="125"/>
      <c r="AK849" s="91"/>
      <c r="AL849" s="126"/>
      <c r="AM849" s="91"/>
      <c r="AN849" s="91"/>
      <c r="AO849" s="197">
        <f t="shared" si="55"/>
        <v>0</v>
      </c>
      <c r="AP849" s="126"/>
      <c r="AQ849" s="216"/>
      <c r="AR849" s="127"/>
      <c r="AS849" s="269"/>
      <c r="AT849" s="94"/>
      <c r="AU849" s="84"/>
      <c r="AV849" s="80"/>
      <c r="AW849" s="81"/>
      <c r="AX849" s="77"/>
      <c r="AY849" s="107"/>
      <c r="AZ849" s="220">
        <f t="shared" si="52"/>
        <v>0</v>
      </c>
      <c r="BA849" s="220">
        <f t="shared" si="53"/>
        <v>0</v>
      </c>
    </row>
    <row r="850" spans="1:53" ht="50.1" customHeight="1" x14ac:dyDescent="0.25">
      <c r="A850" s="17">
        <f t="shared" si="54"/>
        <v>836</v>
      </c>
      <c r="B850" s="229"/>
      <c r="C850" s="222"/>
      <c r="D850" s="112"/>
      <c r="E850" s="128"/>
      <c r="F850" s="129"/>
      <c r="G850" s="130"/>
      <c r="H850" s="131"/>
      <c r="I850" s="132"/>
      <c r="J850" s="108"/>
      <c r="K850" s="133"/>
      <c r="L850" s="134"/>
      <c r="M850" s="334"/>
      <c r="N850" s="343"/>
      <c r="O850" s="135"/>
      <c r="P850" s="82"/>
      <c r="Q850" s="135"/>
      <c r="R850" s="82"/>
      <c r="S850" s="299"/>
      <c r="T850" s="305"/>
      <c r="U850" s="298"/>
      <c r="V850" s="304"/>
      <c r="W850" s="249"/>
      <c r="X850" s="344"/>
      <c r="Y850" s="337"/>
      <c r="Z850" s="33"/>
      <c r="AA850" s="83"/>
      <c r="AB850" s="33"/>
      <c r="AC850" s="83"/>
      <c r="AD850" s="33"/>
      <c r="AE850" s="83"/>
      <c r="AF850" s="33"/>
      <c r="AG850" s="244"/>
      <c r="AH850" s="83"/>
      <c r="AI850" s="246"/>
      <c r="AJ850" s="102"/>
      <c r="AK850" s="92"/>
      <c r="AL850" s="91"/>
      <c r="AM850" s="92"/>
      <c r="AN850" s="351"/>
      <c r="AO850" s="197">
        <f t="shared" si="55"/>
        <v>0</v>
      </c>
      <c r="AP850" s="91"/>
      <c r="AQ850" s="217"/>
      <c r="AR850" s="103"/>
      <c r="AS850" s="264"/>
      <c r="AT850" s="94"/>
      <c r="AU850" s="84"/>
      <c r="AV850" s="136"/>
      <c r="AW850" s="77"/>
      <c r="AX850" s="137"/>
      <c r="AY850" s="138"/>
      <c r="AZ850" s="220">
        <f t="shared" si="52"/>
        <v>0</v>
      </c>
      <c r="BA850" s="220">
        <f t="shared" si="53"/>
        <v>0</v>
      </c>
    </row>
    <row r="851" spans="1:53" ht="50.1" customHeight="1" x14ac:dyDescent="0.25">
      <c r="A851" s="17">
        <f t="shared" si="54"/>
        <v>837</v>
      </c>
      <c r="B851" s="228"/>
      <c r="C851" s="221"/>
      <c r="D851" s="88"/>
      <c r="E851" s="100"/>
      <c r="F851" s="95"/>
      <c r="G851" s="114"/>
      <c r="H851" s="96"/>
      <c r="I851" s="97"/>
      <c r="J851" s="98"/>
      <c r="K851" s="101"/>
      <c r="L851" s="124"/>
      <c r="M851" s="333"/>
      <c r="N851" s="341"/>
      <c r="O851" s="82"/>
      <c r="P851" s="93"/>
      <c r="Q851" s="82"/>
      <c r="R851" s="93"/>
      <c r="S851" s="298"/>
      <c r="T851" s="304"/>
      <c r="U851" s="307"/>
      <c r="V851" s="309"/>
      <c r="W851" s="248"/>
      <c r="X851" s="342"/>
      <c r="Y851" s="336"/>
      <c r="Z851" s="123"/>
      <c r="AA851" s="33"/>
      <c r="AB851" s="123"/>
      <c r="AC851" s="33"/>
      <c r="AD851" s="123"/>
      <c r="AE851" s="33"/>
      <c r="AF851" s="123"/>
      <c r="AG851" s="243"/>
      <c r="AH851" s="33"/>
      <c r="AI851" s="245"/>
      <c r="AJ851" s="125"/>
      <c r="AK851" s="91"/>
      <c r="AL851" s="126"/>
      <c r="AM851" s="91"/>
      <c r="AN851" s="91"/>
      <c r="AO851" s="197">
        <f t="shared" si="55"/>
        <v>0</v>
      </c>
      <c r="AP851" s="126"/>
      <c r="AQ851" s="216"/>
      <c r="AR851" s="127"/>
      <c r="AS851" s="269"/>
      <c r="AT851" s="94"/>
      <c r="AU851" s="84"/>
      <c r="AV851" s="80"/>
      <c r="AW851" s="81"/>
      <c r="AX851" s="77"/>
      <c r="AY851" s="107"/>
      <c r="AZ851" s="220">
        <f t="shared" si="52"/>
        <v>0</v>
      </c>
      <c r="BA851" s="220">
        <f t="shared" si="53"/>
        <v>0</v>
      </c>
    </row>
    <row r="852" spans="1:53" ht="50.1" customHeight="1" x14ac:dyDescent="0.25">
      <c r="A852" s="17">
        <f t="shared" si="54"/>
        <v>838</v>
      </c>
      <c r="B852" s="229"/>
      <c r="C852" s="222"/>
      <c r="D852" s="112"/>
      <c r="E852" s="128"/>
      <c r="F852" s="129"/>
      <c r="G852" s="130"/>
      <c r="H852" s="131"/>
      <c r="I852" s="132"/>
      <c r="J852" s="108"/>
      <c r="K852" s="133"/>
      <c r="L852" s="134"/>
      <c r="M852" s="334"/>
      <c r="N852" s="343"/>
      <c r="O852" s="135"/>
      <c r="P852" s="82"/>
      <c r="Q852" s="135"/>
      <c r="R852" s="82"/>
      <c r="S852" s="299"/>
      <c r="T852" s="305"/>
      <c r="U852" s="298"/>
      <c r="V852" s="304"/>
      <c r="W852" s="249"/>
      <c r="X852" s="344"/>
      <c r="Y852" s="337"/>
      <c r="Z852" s="33"/>
      <c r="AA852" s="83"/>
      <c r="AB852" s="33"/>
      <c r="AC852" s="83"/>
      <c r="AD852" s="33"/>
      <c r="AE852" s="83"/>
      <c r="AF852" s="33"/>
      <c r="AG852" s="244"/>
      <c r="AH852" s="83"/>
      <c r="AI852" s="246"/>
      <c r="AJ852" s="102"/>
      <c r="AK852" s="92"/>
      <c r="AL852" s="91"/>
      <c r="AM852" s="92"/>
      <c r="AN852" s="351"/>
      <c r="AO852" s="197">
        <f t="shared" si="55"/>
        <v>0</v>
      </c>
      <c r="AP852" s="91"/>
      <c r="AQ852" s="217"/>
      <c r="AR852" s="103"/>
      <c r="AS852" s="264"/>
      <c r="AT852" s="94"/>
      <c r="AU852" s="84"/>
      <c r="AV852" s="136"/>
      <c r="AW852" s="77"/>
      <c r="AX852" s="137"/>
      <c r="AY852" s="138"/>
      <c r="AZ852" s="220">
        <f t="shared" si="52"/>
        <v>0</v>
      </c>
      <c r="BA852" s="220">
        <f t="shared" si="53"/>
        <v>0</v>
      </c>
    </row>
    <row r="853" spans="1:53" ht="50.1" customHeight="1" x14ac:dyDescent="0.25">
      <c r="A853" s="17">
        <f t="shared" si="54"/>
        <v>839</v>
      </c>
      <c r="B853" s="228"/>
      <c r="C853" s="221"/>
      <c r="D853" s="88"/>
      <c r="E853" s="100"/>
      <c r="F853" s="95"/>
      <c r="G853" s="114"/>
      <c r="H853" s="96"/>
      <c r="I853" s="97"/>
      <c r="J853" s="98"/>
      <c r="K853" s="101"/>
      <c r="L853" s="124"/>
      <c r="M853" s="333"/>
      <c r="N853" s="341"/>
      <c r="O853" s="82"/>
      <c r="P853" s="93"/>
      <c r="Q853" s="82"/>
      <c r="R853" s="93"/>
      <c r="S853" s="298"/>
      <c r="T853" s="304"/>
      <c r="U853" s="307"/>
      <c r="V853" s="309"/>
      <c r="W853" s="248"/>
      <c r="X853" s="342"/>
      <c r="Y853" s="336"/>
      <c r="Z853" s="123"/>
      <c r="AA853" s="33"/>
      <c r="AB853" s="123"/>
      <c r="AC853" s="33"/>
      <c r="AD853" s="123"/>
      <c r="AE853" s="33"/>
      <c r="AF853" s="123"/>
      <c r="AG853" s="243"/>
      <c r="AH853" s="33"/>
      <c r="AI853" s="245"/>
      <c r="AJ853" s="125"/>
      <c r="AK853" s="91"/>
      <c r="AL853" s="126"/>
      <c r="AM853" s="91"/>
      <c r="AN853" s="91"/>
      <c r="AO853" s="197">
        <f t="shared" si="55"/>
        <v>0</v>
      </c>
      <c r="AP853" s="126"/>
      <c r="AQ853" s="216"/>
      <c r="AR853" s="127"/>
      <c r="AS853" s="269"/>
      <c r="AT853" s="94"/>
      <c r="AU853" s="84"/>
      <c r="AV853" s="80"/>
      <c r="AW853" s="81"/>
      <c r="AX853" s="77"/>
      <c r="AY853" s="107"/>
      <c r="AZ853" s="220">
        <f t="shared" si="52"/>
        <v>0</v>
      </c>
      <c r="BA853" s="220">
        <f t="shared" si="53"/>
        <v>0</v>
      </c>
    </row>
    <row r="854" spans="1:53" ht="50.1" customHeight="1" x14ac:dyDescent="0.25">
      <c r="A854" s="17">
        <f t="shared" si="54"/>
        <v>840</v>
      </c>
      <c r="B854" s="229"/>
      <c r="C854" s="222"/>
      <c r="D854" s="112"/>
      <c r="E854" s="128"/>
      <c r="F854" s="129"/>
      <c r="G854" s="130"/>
      <c r="H854" s="131"/>
      <c r="I854" s="132"/>
      <c r="J854" s="108"/>
      <c r="K854" s="133"/>
      <c r="L854" s="134"/>
      <c r="M854" s="334"/>
      <c r="N854" s="343"/>
      <c r="O854" s="135"/>
      <c r="P854" s="82"/>
      <c r="Q854" s="135"/>
      <c r="R854" s="82"/>
      <c r="S854" s="299"/>
      <c r="T854" s="305"/>
      <c r="U854" s="298"/>
      <c r="V854" s="304"/>
      <c r="W854" s="249"/>
      <c r="X854" s="344"/>
      <c r="Y854" s="337"/>
      <c r="Z854" s="33"/>
      <c r="AA854" s="83"/>
      <c r="AB854" s="33"/>
      <c r="AC854" s="83"/>
      <c r="AD854" s="33"/>
      <c r="AE854" s="83"/>
      <c r="AF854" s="33"/>
      <c r="AG854" s="244"/>
      <c r="AH854" s="83"/>
      <c r="AI854" s="246"/>
      <c r="AJ854" s="102"/>
      <c r="AK854" s="92"/>
      <c r="AL854" s="91"/>
      <c r="AM854" s="92"/>
      <c r="AN854" s="351"/>
      <c r="AO854" s="197">
        <f t="shared" si="55"/>
        <v>0</v>
      </c>
      <c r="AP854" s="91"/>
      <c r="AQ854" s="217"/>
      <c r="AR854" s="103"/>
      <c r="AS854" s="264"/>
      <c r="AT854" s="94"/>
      <c r="AU854" s="84"/>
      <c r="AV854" s="136"/>
      <c r="AW854" s="77"/>
      <c r="AX854" s="137"/>
      <c r="AY854" s="138"/>
      <c r="AZ854" s="220">
        <f t="shared" si="52"/>
        <v>0</v>
      </c>
      <c r="BA854" s="220">
        <f t="shared" si="53"/>
        <v>0</v>
      </c>
    </row>
    <row r="855" spans="1:53" ht="50.1" customHeight="1" x14ac:dyDescent="0.25">
      <c r="A855" s="17">
        <f t="shared" si="54"/>
        <v>841</v>
      </c>
      <c r="B855" s="228"/>
      <c r="C855" s="221"/>
      <c r="D855" s="88"/>
      <c r="E855" s="100"/>
      <c r="F855" s="95"/>
      <c r="G855" s="114"/>
      <c r="H855" s="96"/>
      <c r="I855" s="97"/>
      <c r="J855" s="98"/>
      <c r="K855" s="101"/>
      <c r="L855" s="124"/>
      <c r="M855" s="333"/>
      <c r="N855" s="341"/>
      <c r="O855" s="82"/>
      <c r="P855" s="93"/>
      <c r="Q855" s="82"/>
      <c r="R855" s="93"/>
      <c r="S855" s="298"/>
      <c r="T855" s="304"/>
      <c r="U855" s="307"/>
      <c r="V855" s="309"/>
      <c r="W855" s="248"/>
      <c r="X855" s="342"/>
      <c r="Y855" s="336"/>
      <c r="Z855" s="123"/>
      <c r="AA855" s="33"/>
      <c r="AB855" s="123"/>
      <c r="AC855" s="33"/>
      <c r="AD855" s="123"/>
      <c r="AE855" s="33"/>
      <c r="AF855" s="123"/>
      <c r="AG855" s="243"/>
      <c r="AH855" s="33"/>
      <c r="AI855" s="245"/>
      <c r="AJ855" s="125"/>
      <c r="AK855" s="91"/>
      <c r="AL855" s="126"/>
      <c r="AM855" s="91"/>
      <c r="AN855" s="91"/>
      <c r="AO855" s="197">
        <f t="shared" si="55"/>
        <v>0</v>
      </c>
      <c r="AP855" s="126"/>
      <c r="AQ855" s="216"/>
      <c r="AR855" s="127"/>
      <c r="AS855" s="269"/>
      <c r="AT855" s="94"/>
      <c r="AU855" s="84"/>
      <c r="AV855" s="80"/>
      <c r="AW855" s="81"/>
      <c r="AX855" s="77"/>
      <c r="AY855" s="107"/>
      <c r="AZ855" s="220">
        <f t="shared" si="52"/>
        <v>0</v>
      </c>
      <c r="BA855" s="220">
        <f t="shared" si="53"/>
        <v>0</v>
      </c>
    </row>
    <row r="856" spans="1:53" ht="50.1" customHeight="1" x14ac:dyDescent="0.25">
      <c r="A856" s="17">
        <f t="shared" si="54"/>
        <v>842</v>
      </c>
      <c r="B856" s="229"/>
      <c r="C856" s="222"/>
      <c r="D856" s="112"/>
      <c r="E856" s="128"/>
      <c r="F856" s="129"/>
      <c r="G856" s="130"/>
      <c r="H856" s="131"/>
      <c r="I856" s="132"/>
      <c r="J856" s="108"/>
      <c r="K856" s="133"/>
      <c r="L856" s="134"/>
      <c r="M856" s="334"/>
      <c r="N856" s="343"/>
      <c r="O856" s="135"/>
      <c r="P856" s="82"/>
      <c r="Q856" s="135"/>
      <c r="R856" s="82"/>
      <c r="S856" s="299"/>
      <c r="T856" s="305"/>
      <c r="U856" s="298"/>
      <c r="V856" s="304"/>
      <c r="W856" s="249"/>
      <c r="X856" s="344"/>
      <c r="Y856" s="337"/>
      <c r="Z856" s="33"/>
      <c r="AA856" s="83"/>
      <c r="AB856" s="33"/>
      <c r="AC856" s="83"/>
      <c r="AD856" s="33"/>
      <c r="AE856" s="83"/>
      <c r="AF856" s="33"/>
      <c r="AG856" s="244"/>
      <c r="AH856" s="83"/>
      <c r="AI856" s="246"/>
      <c r="AJ856" s="102"/>
      <c r="AK856" s="92"/>
      <c r="AL856" s="91"/>
      <c r="AM856" s="92"/>
      <c r="AN856" s="351"/>
      <c r="AO856" s="197">
        <f t="shared" si="55"/>
        <v>0</v>
      </c>
      <c r="AP856" s="91"/>
      <c r="AQ856" s="217"/>
      <c r="AR856" s="103"/>
      <c r="AS856" s="264"/>
      <c r="AT856" s="94"/>
      <c r="AU856" s="84"/>
      <c r="AV856" s="136"/>
      <c r="AW856" s="77"/>
      <c r="AX856" s="137"/>
      <c r="AY856" s="138"/>
      <c r="AZ856" s="220">
        <f t="shared" si="52"/>
        <v>0</v>
      </c>
      <c r="BA856" s="220">
        <f t="shared" si="53"/>
        <v>0</v>
      </c>
    </row>
    <row r="857" spans="1:53" ht="50.1" customHeight="1" x14ac:dyDescent="0.25">
      <c r="A857" s="17">
        <f t="shared" si="54"/>
        <v>843</v>
      </c>
      <c r="B857" s="228"/>
      <c r="C857" s="221"/>
      <c r="D857" s="88"/>
      <c r="E857" s="100"/>
      <c r="F857" s="95"/>
      <c r="G857" s="114"/>
      <c r="H857" s="96"/>
      <c r="I857" s="97"/>
      <c r="J857" s="98"/>
      <c r="K857" s="101"/>
      <c r="L857" s="124"/>
      <c r="M857" s="333"/>
      <c r="N857" s="341"/>
      <c r="O857" s="82"/>
      <c r="P857" s="93"/>
      <c r="Q857" s="82"/>
      <c r="R857" s="93"/>
      <c r="S857" s="298"/>
      <c r="T857" s="304"/>
      <c r="U857" s="307"/>
      <c r="V857" s="309"/>
      <c r="W857" s="248"/>
      <c r="X857" s="342"/>
      <c r="Y857" s="336"/>
      <c r="Z857" s="123"/>
      <c r="AA857" s="33"/>
      <c r="AB857" s="123"/>
      <c r="AC857" s="33"/>
      <c r="AD857" s="123"/>
      <c r="AE857" s="33"/>
      <c r="AF857" s="123"/>
      <c r="AG857" s="243"/>
      <c r="AH857" s="33"/>
      <c r="AI857" s="245"/>
      <c r="AJ857" s="125"/>
      <c r="AK857" s="91"/>
      <c r="AL857" s="126"/>
      <c r="AM857" s="91"/>
      <c r="AN857" s="91"/>
      <c r="AO857" s="197">
        <f t="shared" si="55"/>
        <v>0</v>
      </c>
      <c r="AP857" s="126"/>
      <c r="AQ857" s="216"/>
      <c r="AR857" s="127"/>
      <c r="AS857" s="269"/>
      <c r="AT857" s="94"/>
      <c r="AU857" s="84"/>
      <c r="AV857" s="80"/>
      <c r="AW857" s="81"/>
      <c r="AX857" s="77"/>
      <c r="AY857" s="107"/>
      <c r="AZ857" s="220">
        <f t="shared" si="52"/>
        <v>0</v>
      </c>
      <c r="BA857" s="220">
        <f t="shared" si="53"/>
        <v>0</v>
      </c>
    </row>
    <row r="858" spans="1:53" ht="50.1" customHeight="1" x14ac:dyDescent="0.25">
      <c r="A858" s="17">
        <f t="shared" si="54"/>
        <v>844</v>
      </c>
      <c r="B858" s="229"/>
      <c r="C858" s="222"/>
      <c r="D858" s="112"/>
      <c r="E858" s="128"/>
      <c r="F858" s="129"/>
      <c r="G858" s="130"/>
      <c r="H858" s="131"/>
      <c r="I858" s="132"/>
      <c r="J858" s="108"/>
      <c r="K858" s="133"/>
      <c r="L858" s="134"/>
      <c r="M858" s="334"/>
      <c r="N858" s="343"/>
      <c r="O858" s="135"/>
      <c r="P858" s="82"/>
      <c r="Q858" s="135"/>
      <c r="R858" s="82"/>
      <c r="S858" s="299"/>
      <c r="T858" s="305"/>
      <c r="U858" s="298"/>
      <c r="V858" s="304"/>
      <c r="W858" s="249"/>
      <c r="X858" s="344"/>
      <c r="Y858" s="337"/>
      <c r="Z858" s="33"/>
      <c r="AA858" s="83"/>
      <c r="AB858" s="33"/>
      <c r="AC858" s="83"/>
      <c r="AD858" s="33"/>
      <c r="AE858" s="83"/>
      <c r="AF858" s="33"/>
      <c r="AG858" s="244"/>
      <c r="AH858" s="83"/>
      <c r="AI858" s="246"/>
      <c r="AJ858" s="102"/>
      <c r="AK858" s="92"/>
      <c r="AL858" s="91"/>
      <c r="AM858" s="92"/>
      <c r="AN858" s="351"/>
      <c r="AO858" s="197">
        <f t="shared" si="55"/>
        <v>0</v>
      </c>
      <c r="AP858" s="91"/>
      <c r="AQ858" s="217"/>
      <c r="AR858" s="103"/>
      <c r="AS858" s="264"/>
      <c r="AT858" s="94"/>
      <c r="AU858" s="84"/>
      <c r="AV858" s="136"/>
      <c r="AW858" s="77"/>
      <c r="AX858" s="137"/>
      <c r="AY858" s="138"/>
      <c r="AZ858" s="220">
        <f t="shared" si="52"/>
        <v>0</v>
      </c>
      <c r="BA858" s="220">
        <f t="shared" si="53"/>
        <v>0</v>
      </c>
    </row>
    <row r="859" spans="1:53" ht="50.1" customHeight="1" x14ac:dyDescent="0.25">
      <c r="A859" s="17">
        <f t="shared" si="54"/>
        <v>845</v>
      </c>
      <c r="B859" s="228"/>
      <c r="C859" s="221"/>
      <c r="D859" s="88"/>
      <c r="E859" s="100"/>
      <c r="F859" s="95"/>
      <c r="G859" s="114"/>
      <c r="H859" s="96"/>
      <c r="I859" s="97"/>
      <c r="J859" s="98"/>
      <c r="K859" s="101"/>
      <c r="L859" s="124"/>
      <c r="M859" s="333"/>
      <c r="N859" s="341"/>
      <c r="O859" s="82"/>
      <c r="P859" s="93"/>
      <c r="Q859" s="82"/>
      <c r="R859" s="93"/>
      <c r="S859" s="298"/>
      <c r="T859" s="304"/>
      <c r="U859" s="307"/>
      <c r="V859" s="309"/>
      <c r="W859" s="248"/>
      <c r="X859" s="342"/>
      <c r="Y859" s="336"/>
      <c r="Z859" s="123"/>
      <c r="AA859" s="33"/>
      <c r="AB859" s="123"/>
      <c r="AC859" s="33"/>
      <c r="AD859" s="123"/>
      <c r="AE859" s="33"/>
      <c r="AF859" s="123"/>
      <c r="AG859" s="243"/>
      <c r="AH859" s="33"/>
      <c r="AI859" s="245"/>
      <c r="AJ859" s="125"/>
      <c r="AK859" s="91"/>
      <c r="AL859" s="126"/>
      <c r="AM859" s="91"/>
      <c r="AN859" s="91"/>
      <c r="AO859" s="197">
        <f t="shared" si="55"/>
        <v>0</v>
      </c>
      <c r="AP859" s="126"/>
      <c r="AQ859" s="216"/>
      <c r="AR859" s="127"/>
      <c r="AS859" s="269"/>
      <c r="AT859" s="94"/>
      <c r="AU859" s="84"/>
      <c r="AV859" s="80"/>
      <c r="AW859" s="81"/>
      <c r="AX859" s="77"/>
      <c r="AY859" s="107"/>
      <c r="AZ859" s="220">
        <f t="shared" si="52"/>
        <v>0</v>
      </c>
      <c r="BA859" s="220">
        <f t="shared" si="53"/>
        <v>0</v>
      </c>
    </row>
    <row r="860" spans="1:53" ht="50.1" customHeight="1" x14ac:dyDescent="0.25">
      <c r="A860" s="17">
        <f t="shared" si="54"/>
        <v>846</v>
      </c>
      <c r="B860" s="229"/>
      <c r="C860" s="222"/>
      <c r="D860" s="112"/>
      <c r="E860" s="128"/>
      <c r="F860" s="129"/>
      <c r="G860" s="130"/>
      <c r="H860" s="131"/>
      <c r="I860" s="132"/>
      <c r="J860" s="108"/>
      <c r="K860" s="133"/>
      <c r="L860" s="134"/>
      <c r="M860" s="334"/>
      <c r="N860" s="343"/>
      <c r="O860" s="135"/>
      <c r="P860" s="82"/>
      <c r="Q860" s="135"/>
      <c r="R860" s="82"/>
      <c r="S860" s="299"/>
      <c r="T860" s="305"/>
      <c r="U860" s="298"/>
      <c r="V860" s="304"/>
      <c r="W860" s="249"/>
      <c r="X860" s="344"/>
      <c r="Y860" s="337"/>
      <c r="Z860" s="33"/>
      <c r="AA860" s="83"/>
      <c r="AB860" s="33"/>
      <c r="AC860" s="83"/>
      <c r="AD860" s="33"/>
      <c r="AE860" s="83"/>
      <c r="AF860" s="33"/>
      <c r="AG860" s="244"/>
      <c r="AH860" s="83"/>
      <c r="AI860" s="246"/>
      <c r="AJ860" s="102"/>
      <c r="AK860" s="92"/>
      <c r="AL860" s="91"/>
      <c r="AM860" s="92"/>
      <c r="AN860" s="351"/>
      <c r="AO860" s="197">
        <f t="shared" si="55"/>
        <v>0</v>
      </c>
      <c r="AP860" s="91"/>
      <c r="AQ860" s="217"/>
      <c r="AR860" s="103"/>
      <c r="AS860" s="264"/>
      <c r="AT860" s="94"/>
      <c r="AU860" s="84"/>
      <c r="AV860" s="136"/>
      <c r="AW860" s="77"/>
      <c r="AX860" s="137"/>
      <c r="AY860" s="138"/>
      <c r="AZ860" s="220">
        <f t="shared" si="52"/>
        <v>0</v>
      </c>
      <c r="BA860" s="220">
        <f t="shared" si="53"/>
        <v>0</v>
      </c>
    </row>
    <row r="861" spans="1:53" ht="50.1" customHeight="1" x14ac:dyDescent="0.25">
      <c r="A861" s="17">
        <f t="shared" si="54"/>
        <v>847</v>
      </c>
      <c r="B861" s="228"/>
      <c r="C861" s="221"/>
      <c r="D861" s="88"/>
      <c r="E861" s="100"/>
      <c r="F861" s="95"/>
      <c r="G861" s="114"/>
      <c r="H861" s="96"/>
      <c r="I861" s="97"/>
      <c r="J861" s="98"/>
      <c r="K861" s="101"/>
      <c r="L861" s="124"/>
      <c r="M861" s="333"/>
      <c r="N861" s="341"/>
      <c r="O861" s="82"/>
      <c r="P861" s="93"/>
      <c r="Q861" s="82"/>
      <c r="R861" s="93"/>
      <c r="S861" s="298"/>
      <c r="T861" s="304"/>
      <c r="U861" s="307"/>
      <c r="V861" s="309"/>
      <c r="W861" s="248"/>
      <c r="X861" s="342"/>
      <c r="Y861" s="336"/>
      <c r="Z861" s="123"/>
      <c r="AA861" s="33"/>
      <c r="AB861" s="123"/>
      <c r="AC861" s="33"/>
      <c r="AD861" s="123"/>
      <c r="AE861" s="33"/>
      <c r="AF861" s="123"/>
      <c r="AG861" s="243"/>
      <c r="AH861" s="33"/>
      <c r="AI861" s="245"/>
      <c r="AJ861" s="125"/>
      <c r="AK861" s="91"/>
      <c r="AL861" s="126"/>
      <c r="AM861" s="91"/>
      <c r="AN861" s="91"/>
      <c r="AO861" s="197">
        <f t="shared" si="55"/>
        <v>0</v>
      </c>
      <c r="AP861" s="126"/>
      <c r="AQ861" s="216"/>
      <c r="AR861" s="127"/>
      <c r="AS861" s="269"/>
      <c r="AT861" s="94"/>
      <c r="AU861" s="84"/>
      <c r="AV861" s="80"/>
      <c r="AW861" s="81"/>
      <c r="AX861" s="77"/>
      <c r="AY861" s="107"/>
      <c r="AZ861" s="220">
        <f t="shared" si="52"/>
        <v>0</v>
      </c>
      <c r="BA861" s="220">
        <f t="shared" si="53"/>
        <v>0</v>
      </c>
    </row>
    <row r="862" spans="1:53" ht="50.1" customHeight="1" x14ac:dyDescent="0.25">
      <c r="A862" s="17">
        <f t="shared" si="54"/>
        <v>848</v>
      </c>
      <c r="B862" s="229"/>
      <c r="C862" s="222"/>
      <c r="D862" s="112"/>
      <c r="E862" s="128"/>
      <c r="F862" s="129"/>
      <c r="G862" s="130"/>
      <c r="H862" s="131"/>
      <c r="I862" s="132"/>
      <c r="J862" s="108"/>
      <c r="K862" s="133"/>
      <c r="L862" s="134"/>
      <c r="M862" s="334"/>
      <c r="N862" s="343"/>
      <c r="O862" s="135"/>
      <c r="P862" s="82"/>
      <c r="Q862" s="135"/>
      <c r="R862" s="82"/>
      <c r="S862" s="299"/>
      <c r="T862" s="305"/>
      <c r="U862" s="298"/>
      <c r="V862" s="304"/>
      <c r="W862" s="249"/>
      <c r="X862" s="344"/>
      <c r="Y862" s="337"/>
      <c r="Z862" s="33"/>
      <c r="AA862" s="83"/>
      <c r="AB862" s="33"/>
      <c r="AC862" s="83"/>
      <c r="AD862" s="33"/>
      <c r="AE862" s="83"/>
      <c r="AF862" s="33"/>
      <c r="AG862" s="244"/>
      <c r="AH862" s="83"/>
      <c r="AI862" s="246"/>
      <c r="AJ862" s="102"/>
      <c r="AK862" s="92"/>
      <c r="AL862" s="91"/>
      <c r="AM862" s="92"/>
      <c r="AN862" s="351"/>
      <c r="AO862" s="197">
        <f t="shared" si="55"/>
        <v>0</v>
      </c>
      <c r="AP862" s="91"/>
      <c r="AQ862" s="217"/>
      <c r="AR862" s="103"/>
      <c r="AS862" s="264"/>
      <c r="AT862" s="94"/>
      <c r="AU862" s="84"/>
      <c r="AV862" s="136"/>
      <c r="AW862" s="77"/>
      <c r="AX862" s="137"/>
      <c r="AY862" s="138"/>
      <c r="AZ862" s="220">
        <f t="shared" si="52"/>
        <v>0</v>
      </c>
      <c r="BA862" s="220">
        <f t="shared" si="53"/>
        <v>0</v>
      </c>
    </row>
    <row r="863" spans="1:53" ht="50.1" customHeight="1" x14ac:dyDescent="0.25">
      <c r="A863" s="17">
        <f t="shared" si="54"/>
        <v>849</v>
      </c>
      <c r="B863" s="228"/>
      <c r="C863" s="221"/>
      <c r="D863" s="88"/>
      <c r="E863" s="100"/>
      <c r="F863" s="95"/>
      <c r="G863" s="114"/>
      <c r="H863" s="96"/>
      <c r="I863" s="97"/>
      <c r="J863" s="98"/>
      <c r="K863" s="101"/>
      <c r="L863" s="124"/>
      <c r="M863" s="333"/>
      <c r="N863" s="341"/>
      <c r="O863" s="82"/>
      <c r="P863" s="93"/>
      <c r="Q863" s="82"/>
      <c r="R863" s="93"/>
      <c r="S863" s="298"/>
      <c r="T863" s="304"/>
      <c r="U863" s="307"/>
      <c r="V863" s="309"/>
      <c r="W863" s="248"/>
      <c r="X863" s="342"/>
      <c r="Y863" s="336"/>
      <c r="Z863" s="123"/>
      <c r="AA863" s="33"/>
      <c r="AB863" s="123"/>
      <c r="AC863" s="33"/>
      <c r="AD863" s="123"/>
      <c r="AE863" s="33"/>
      <c r="AF863" s="123"/>
      <c r="AG863" s="243"/>
      <c r="AH863" s="33"/>
      <c r="AI863" s="245"/>
      <c r="AJ863" s="125"/>
      <c r="AK863" s="91"/>
      <c r="AL863" s="126"/>
      <c r="AM863" s="91"/>
      <c r="AN863" s="91"/>
      <c r="AO863" s="197">
        <f t="shared" si="55"/>
        <v>0</v>
      </c>
      <c r="AP863" s="126"/>
      <c r="AQ863" s="216"/>
      <c r="AR863" s="127"/>
      <c r="AS863" s="269"/>
      <c r="AT863" s="94"/>
      <c r="AU863" s="84"/>
      <c r="AV863" s="80"/>
      <c r="AW863" s="81"/>
      <c r="AX863" s="77"/>
      <c r="AY863" s="107"/>
      <c r="AZ863" s="220">
        <f t="shared" si="52"/>
        <v>0</v>
      </c>
      <c r="BA863" s="220">
        <f t="shared" si="53"/>
        <v>0</v>
      </c>
    </row>
    <row r="864" spans="1:53" ht="50.1" customHeight="1" x14ac:dyDescent="0.25">
      <c r="A864" s="17">
        <f t="shared" si="54"/>
        <v>850</v>
      </c>
      <c r="B864" s="229"/>
      <c r="C864" s="222"/>
      <c r="D864" s="112"/>
      <c r="E864" s="128"/>
      <c r="F864" s="129"/>
      <c r="G864" s="130"/>
      <c r="H864" s="131"/>
      <c r="I864" s="132"/>
      <c r="J864" s="108"/>
      <c r="K864" s="133"/>
      <c r="L864" s="134"/>
      <c r="M864" s="334"/>
      <c r="N864" s="343"/>
      <c r="O864" s="135"/>
      <c r="P864" s="82"/>
      <c r="Q864" s="135"/>
      <c r="R864" s="82"/>
      <c r="S864" s="299"/>
      <c r="T864" s="305"/>
      <c r="U864" s="298"/>
      <c r="V864" s="304"/>
      <c r="W864" s="249"/>
      <c r="X864" s="344"/>
      <c r="Y864" s="337"/>
      <c r="Z864" s="33"/>
      <c r="AA864" s="83"/>
      <c r="AB864" s="33"/>
      <c r="AC864" s="83"/>
      <c r="AD864" s="33"/>
      <c r="AE864" s="83"/>
      <c r="AF864" s="33"/>
      <c r="AG864" s="244"/>
      <c r="AH864" s="83"/>
      <c r="AI864" s="246"/>
      <c r="AJ864" s="102"/>
      <c r="AK864" s="92"/>
      <c r="AL864" s="91"/>
      <c r="AM864" s="92"/>
      <c r="AN864" s="351"/>
      <c r="AO864" s="197">
        <f t="shared" si="55"/>
        <v>0</v>
      </c>
      <c r="AP864" s="91"/>
      <c r="AQ864" s="217"/>
      <c r="AR864" s="103"/>
      <c r="AS864" s="264"/>
      <c r="AT864" s="94"/>
      <c r="AU864" s="84"/>
      <c r="AV864" s="136"/>
      <c r="AW864" s="77"/>
      <c r="AX864" s="137"/>
      <c r="AY864" s="138"/>
      <c r="AZ864" s="220">
        <f t="shared" si="52"/>
        <v>0</v>
      </c>
      <c r="BA864" s="220">
        <f t="shared" si="53"/>
        <v>0</v>
      </c>
    </row>
    <row r="865" spans="1:53" ht="50.1" customHeight="1" x14ac:dyDescent="0.25">
      <c r="A865" s="17">
        <f t="shared" si="54"/>
        <v>851</v>
      </c>
      <c r="B865" s="228"/>
      <c r="C865" s="221"/>
      <c r="D865" s="88"/>
      <c r="E865" s="100"/>
      <c r="F865" s="95"/>
      <c r="G865" s="114"/>
      <c r="H865" s="96"/>
      <c r="I865" s="97"/>
      <c r="J865" s="98"/>
      <c r="K865" s="101"/>
      <c r="L865" s="124"/>
      <c r="M865" s="333"/>
      <c r="N865" s="341"/>
      <c r="O865" s="82"/>
      <c r="P865" s="93"/>
      <c r="Q865" s="82"/>
      <c r="R865" s="93"/>
      <c r="S865" s="298"/>
      <c r="T865" s="304"/>
      <c r="U865" s="307"/>
      <c r="V865" s="309"/>
      <c r="W865" s="248"/>
      <c r="X865" s="342"/>
      <c r="Y865" s="336"/>
      <c r="Z865" s="123"/>
      <c r="AA865" s="33"/>
      <c r="AB865" s="123"/>
      <c r="AC865" s="33"/>
      <c r="AD865" s="123"/>
      <c r="AE865" s="33"/>
      <c r="AF865" s="123"/>
      <c r="AG865" s="243"/>
      <c r="AH865" s="33"/>
      <c r="AI865" s="245"/>
      <c r="AJ865" s="125"/>
      <c r="AK865" s="91"/>
      <c r="AL865" s="126"/>
      <c r="AM865" s="91"/>
      <c r="AN865" s="91"/>
      <c r="AO865" s="197">
        <f t="shared" si="55"/>
        <v>0</v>
      </c>
      <c r="AP865" s="126"/>
      <c r="AQ865" s="216"/>
      <c r="AR865" s="127"/>
      <c r="AS865" s="269"/>
      <c r="AT865" s="94"/>
      <c r="AU865" s="84"/>
      <c r="AV865" s="80"/>
      <c r="AW865" s="81"/>
      <c r="AX865" s="77"/>
      <c r="AY865" s="107"/>
      <c r="AZ865" s="220">
        <f t="shared" si="52"/>
        <v>0</v>
      </c>
      <c r="BA865" s="220">
        <f t="shared" si="53"/>
        <v>0</v>
      </c>
    </row>
    <row r="866" spans="1:53" ht="50.1" customHeight="1" x14ac:dyDescent="0.25">
      <c r="A866" s="17">
        <f t="shared" si="54"/>
        <v>852</v>
      </c>
      <c r="B866" s="229"/>
      <c r="C866" s="222"/>
      <c r="D866" s="112"/>
      <c r="E866" s="128"/>
      <c r="F866" s="129"/>
      <c r="G866" s="130"/>
      <c r="H866" s="131"/>
      <c r="I866" s="132"/>
      <c r="J866" s="108"/>
      <c r="K866" s="133"/>
      <c r="L866" s="134"/>
      <c r="M866" s="334"/>
      <c r="N866" s="343"/>
      <c r="O866" s="135"/>
      <c r="P866" s="82"/>
      <c r="Q866" s="135"/>
      <c r="R866" s="82"/>
      <c r="S866" s="299"/>
      <c r="T866" s="305"/>
      <c r="U866" s="298"/>
      <c r="V866" s="304"/>
      <c r="W866" s="249"/>
      <c r="X866" s="344"/>
      <c r="Y866" s="337"/>
      <c r="Z866" s="33"/>
      <c r="AA866" s="83"/>
      <c r="AB866" s="33"/>
      <c r="AC866" s="83"/>
      <c r="AD866" s="33"/>
      <c r="AE866" s="83"/>
      <c r="AF866" s="33"/>
      <c r="AG866" s="244"/>
      <c r="AH866" s="83"/>
      <c r="AI866" s="246"/>
      <c r="AJ866" s="102"/>
      <c r="AK866" s="92"/>
      <c r="AL866" s="91"/>
      <c r="AM866" s="92"/>
      <c r="AN866" s="351"/>
      <c r="AO866" s="197">
        <f t="shared" si="55"/>
        <v>0</v>
      </c>
      <c r="AP866" s="91"/>
      <c r="AQ866" s="217"/>
      <c r="AR866" s="103"/>
      <c r="AS866" s="264"/>
      <c r="AT866" s="94"/>
      <c r="AU866" s="84"/>
      <c r="AV866" s="136"/>
      <c r="AW866" s="77"/>
      <c r="AX866" s="137"/>
      <c r="AY866" s="138"/>
      <c r="AZ866" s="220">
        <f t="shared" si="52"/>
        <v>0</v>
      </c>
      <c r="BA866" s="220">
        <f t="shared" si="53"/>
        <v>0</v>
      </c>
    </row>
    <row r="867" spans="1:53" ht="50.1" customHeight="1" x14ac:dyDescent="0.25">
      <c r="A867" s="17">
        <f t="shared" si="54"/>
        <v>853</v>
      </c>
      <c r="B867" s="228"/>
      <c r="C867" s="221"/>
      <c r="D867" s="88"/>
      <c r="E867" s="100"/>
      <c r="F867" s="95"/>
      <c r="G867" s="114"/>
      <c r="H867" s="96"/>
      <c r="I867" s="97"/>
      <c r="J867" s="98"/>
      <c r="K867" s="101"/>
      <c r="L867" s="124"/>
      <c r="M867" s="333"/>
      <c r="N867" s="341"/>
      <c r="O867" s="82"/>
      <c r="P867" s="93"/>
      <c r="Q867" s="82"/>
      <c r="R867" s="93"/>
      <c r="S867" s="298"/>
      <c r="T867" s="304"/>
      <c r="U867" s="307"/>
      <c r="V867" s="309"/>
      <c r="W867" s="248"/>
      <c r="X867" s="342"/>
      <c r="Y867" s="336"/>
      <c r="Z867" s="123"/>
      <c r="AA867" s="33"/>
      <c r="AB867" s="123"/>
      <c r="AC867" s="33"/>
      <c r="AD867" s="123"/>
      <c r="AE867" s="33"/>
      <c r="AF867" s="123"/>
      <c r="AG867" s="243"/>
      <c r="AH867" s="33"/>
      <c r="AI867" s="245"/>
      <c r="AJ867" s="125"/>
      <c r="AK867" s="91"/>
      <c r="AL867" s="126"/>
      <c r="AM867" s="91"/>
      <c r="AN867" s="91"/>
      <c r="AO867" s="197">
        <f t="shared" si="55"/>
        <v>0</v>
      </c>
      <c r="AP867" s="126"/>
      <c r="AQ867" s="216"/>
      <c r="AR867" s="127"/>
      <c r="AS867" s="269"/>
      <c r="AT867" s="94"/>
      <c r="AU867" s="84"/>
      <c r="AV867" s="80"/>
      <c r="AW867" s="81"/>
      <c r="AX867" s="77"/>
      <c r="AY867" s="107"/>
      <c r="AZ867" s="220">
        <f t="shared" si="52"/>
        <v>0</v>
      </c>
      <c r="BA867" s="220">
        <f t="shared" si="53"/>
        <v>0</v>
      </c>
    </row>
    <row r="868" spans="1:53" ht="50.1" customHeight="1" x14ac:dyDescent="0.25">
      <c r="A868" s="17">
        <f t="shared" si="54"/>
        <v>854</v>
      </c>
      <c r="B868" s="229"/>
      <c r="C868" s="222"/>
      <c r="D868" s="112"/>
      <c r="E868" s="128"/>
      <c r="F868" s="129"/>
      <c r="G868" s="130"/>
      <c r="H868" s="131"/>
      <c r="I868" s="132"/>
      <c r="J868" s="108"/>
      <c r="K868" s="133"/>
      <c r="L868" s="134"/>
      <c r="M868" s="334"/>
      <c r="N868" s="343"/>
      <c r="O868" s="135"/>
      <c r="P868" s="82"/>
      <c r="Q868" s="135"/>
      <c r="R868" s="82"/>
      <c r="S868" s="299"/>
      <c r="T868" s="305"/>
      <c r="U868" s="298"/>
      <c r="V868" s="304"/>
      <c r="W868" s="249"/>
      <c r="X868" s="344"/>
      <c r="Y868" s="337"/>
      <c r="Z868" s="33"/>
      <c r="AA868" s="83"/>
      <c r="AB868" s="33"/>
      <c r="AC868" s="83"/>
      <c r="AD868" s="33"/>
      <c r="AE868" s="83"/>
      <c r="AF868" s="33"/>
      <c r="AG868" s="244"/>
      <c r="AH868" s="83"/>
      <c r="AI868" s="246"/>
      <c r="AJ868" s="102"/>
      <c r="AK868" s="92"/>
      <c r="AL868" s="91"/>
      <c r="AM868" s="92"/>
      <c r="AN868" s="351"/>
      <c r="AO868" s="197">
        <f t="shared" si="55"/>
        <v>0</v>
      </c>
      <c r="AP868" s="91"/>
      <c r="AQ868" s="217"/>
      <c r="AR868" s="103"/>
      <c r="AS868" s="264"/>
      <c r="AT868" s="94"/>
      <c r="AU868" s="84"/>
      <c r="AV868" s="136"/>
      <c r="AW868" s="77"/>
      <c r="AX868" s="137"/>
      <c r="AY868" s="138"/>
      <c r="AZ868" s="220">
        <f t="shared" si="52"/>
        <v>0</v>
      </c>
      <c r="BA868" s="220">
        <f t="shared" si="53"/>
        <v>0</v>
      </c>
    </row>
    <row r="869" spans="1:53" ht="50.1" customHeight="1" x14ac:dyDescent="0.25">
      <c r="A869" s="17">
        <f t="shared" si="54"/>
        <v>855</v>
      </c>
      <c r="B869" s="228"/>
      <c r="C869" s="221"/>
      <c r="D869" s="88"/>
      <c r="E869" s="100"/>
      <c r="F869" s="95"/>
      <c r="G869" s="114"/>
      <c r="H869" s="96"/>
      <c r="I869" s="97"/>
      <c r="J869" s="98"/>
      <c r="K869" s="101"/>
      <c r="L869" s="124"/>
      <c r="M869" s="333"/>
      <c r="N869" s="341"/>
      <c r="O869" s="82"/>
      <c r="P869" s="93"/>
      <c r="Q869" s="82"/>
      <c r="R869" s="93"/>
      <c r="S869" s="298"/>
      <c r="T869" s="304"/>
      <c r="U869" s="307"/>
      <c r="V869" s="309"/>
      <c r="W869" s="248"/>
      <c r="X869" s="342"/>
      <c r="Y869" s="336"/>
      <c r="Z869" s="123"/>
      <c r="AA869" s="33"/>
      <c r="AB869" s="123"/>
      <c r="AC869" s="33"/>
      <c r="AD869" s="123"/>
      <c r="AE869" s="33"/>
      <c r="AF869" s="123"/>
      <c r="AG869" s="243"/>
      <c r="AH869" s="33"/>
      <c r="AI869" s="245"/>
      <c r="AJ869" s="125"/>
      <c r="AK869" s="91"/>
      <c r="AL869" s="126"/>
      <c r="AM869" s="91"/>
      <c r="AN869" s="91"/>
      <c r="AO869" s="197">
        <f t="shared" si="55"/>
        <v>0</v>
      </c>
      <c r="AP869" s="126"/>
      <c r="AQ869" s="216"/>
      <c r="AR869" s="127"/>
      <c r="AS869" s="269"/>
      <c r="AT869" s="94"/>
      <c r="AU869" s="84"/>
      <c r="AV869" s="80"/>
      <c r="AW869" s="81"/>
      <c r="AX869" s="77"/>
      <c r="AY869" s="107"/>
      <c r="AZ869" s="220">
        <f t="shared" si="52"/>
        <v>0</v>
      </c>
      <c r="BA869" s="220">
        <f t="shared" si="53"/>
        <v>0</v>
      </c>
    </row>
    <row r="870" spans="1:53" ht="50.1" customHeight="1" x14ac:dyDescent="0.25">
      <c r="A870" s="17">
        <f t="shared" si="54"/>
        <v>856</v>
      </c>
      <c r="B870" s="229"/>
      <c r="C870" s="222"/>
      <c r="D870" s="112"/>
      <c r="E870" s="128"/>
      <c r="F870" s="129"/>
      <c r="G870" s="130"/>
      <c r="H870" s="131"/>
      <c r="I870" s="132"/>
      <c r="J870" s="108"/>
      <c r="K870" s="133"/>
      <c r="L870" s="134"/>
      <c r="M870" s="334"/>
      <c r="N870" s="343"/>
      <c r="O870" s="135"/>
      <c r="P870" s="82"/>
      <c r="Q870" s="135"/>
      <c r="R870" s="82"/>
      <c r="S870" s="299"/>
      <c r="T870" s="305"/>
      <c r="U870" s="298"/>
      <c r="V870" s="304"/>
      <c r="W870" s="249"/>
      <c r="X870" s="344"/>
      <c r="Y870" s="337"/>
      <c r="Z870" s="33"/>
      <c r="AA870" s="83"/>
      <c r="AB870" s="33"/>
      <c r="AC870" s="83"/>
      <c r="AD870" s="33"/>
      <c r="AE870" s="83"/>
      <c r="AF870" s="33"/>
      <c r="AG870" s="244"/>
      <c r="AH870" s="83"/>
      <c r="AI870" s="246"/>
      <c r="AJ870" s="102"/>
      <c r="AK870" s="92"/>
      <c r="AL870" s="91"/>
      <c r="AM870" s="92"/>
      <c r="AN870" s="351"/>
      <c r="AO870" s="197">
        <f t="shared" si="55"/>
        <v>0</v>
      </c>
      <c r="AP870" s="91"/>
      <c r="AQ870" s="217"/>
      <c r="AR870" s="103"/>
      <c r="AS870" s="264"/>
      <c r="AT870" s="94"/>
      <c r="AU870" s="84"/>
      <c r="AV870" s="136"/>
      <c r="AW870" s="77"/>
      <c r="AX870" s="137"/>
      <c r="AY870" s="138"/>
      <c r="AZ870" s="220">
        <f t="shared" si="52"/>
        <v>0</v>
      </c>
      <c r="BA870" s="220">
        <f t="shared" si="53"/>
        <v>0</v>
      </c>
    </row>
    <row r="871" spans="1:53" ht="50.1" customHeight="1" x14ac:dyDescent="0.25">
      <c r="A871" s="17">
        <f t="shared" si="54"/>
        <v>857</v>
      </c>
      <c r="B871" s="228"/>
      <c r="C871" s="221"/>
      <c r="D871" s="88"/>
      <c r="E871" s="100"/>
      <c r="F871" s="95"/>
      <c r="G871" s="114"/>
      <c r="H871" s="96"/>
      <c r="I871" s="97"/>
      <c r="J871" s="98"/>
      <c r="K871" s="101"/>
      <c r="L871" s="124"/>
      <c r="M871" s="333"/>
      <c r="N871" s="341"/>
      <c r="O871" s="82"/>
      <c r="P871" s="93"/>
      <c r="Q871" s="82"/>
      <c r="R871" s="93"/>
      <c r="S871" s="298"/>
      <c r="T871" s="304"/>
      <c r="U871" s="307"/>
      <c r="V871" s="309"/>
      <c r="W871" s="248"/>
      <c r="X871" s="342"/>
      <c r="Y871" s="336"/>
      <c r="Z871" s="123"/>
      <c r="AA871" s="33"/>
      <c r="AB871" s="123"/>
      <c r="AC871" s="33"/>
      <c r="AD871" s="123"/>
      <c r="AE871" s="33"/>
      <c r="AF871" s="123"/>
      <c r="AG871" s="243"/>
      <c r="AH871" s="33"/>
      <c r="AI871" s="245"/>
      <c r="AJ871" s="125"/>
      <c r="AK871" s="91"/>
      <c r="AL871" s="126"/>
      <c r="AM871" s="91"/>
      <c r="AN871" s="91"/>
      <c r="AO871" s="197">
        <f t="shared" si="55"/>
        <v>0</v>
      </c>
      <c r="AP871" s="126"/>
      <c r="AQ871" s="216"/>
      <c r="AR871" s="127"/>
      <c r="AS871" s="269"/>
      <c r="AT871" s="94"/>
      <c r="AU871" s="84"/>
      <c r="AV871" s="80"/>
      <c r="AW871" s="81"/>
      <c r="AX871" s="77"/>
      <c r="AY871" s="107"/>
      <c r="AZ871" s="220">
        <f t="shared" si="52"/>
        <v>0</v>
      </c>
      <c r="BA871" s="220">
        <f t="shared" si="53"/>
        <v>0</v>
      </c>
    </row>
    <row r="872" spans="1:53" ht="50.1" customHeight="1" x14ac:dyDescent="0.25">
      <c r="A872" s="17">
        <f t="shared" si="54"/>
        <v>858</v>
      </c>
      <c r="B872" s="229"/>
      <c r="C872" s="222"/>
      <c r="D872" s="112"/>
      <c r="E872" s="128"/>
      <c r="F872" s="129"/>
      <c r="G872" s="130"/>
      <c r="H872" s="131"/>
      <c r="I872" s="132"/>
      <c r="J872" s="108"/>
      <c r="K872" s="133"/>
      <c r="L872" s="134"/>
      <c r="M872" s="334"/>
      <c r="N872" s="343"/>
      <c r="O872" s="135"/>
      <c r="P872" s="82"/>
      <c r="Q872" s="135"/>
      <c r="R872" s="82"/>
      <c r="S872" s="299"/>
      <c r="T872" s="305"/>
      <c r="U872" s="298"/>
      <c r="V872" s="304"/>
      <c r="W872" s="249"/>
      <c r="X872" s="344"/>
      <c r="Y872" s="337"/>
      <c r="Z872" s="33"/>
      <c r="AA872" s="83"/>
      <c r="AB872" s="33"/>
      <c r="AC872" s="83"/>
      <c r="AD872" s="33"/>
      <c r="AE872" s="83"/>
      <c r="AF872" s="33"/>
      <c r="AG872" s="244"/>
      <c r="AH872" s="83"/>
      <c r="AI872" s="246"/>
      <c r="AJ872" s="102"/>
      <c r="AK872" s="92"/>
      <c r="AL872" s="91"/>
      <c r="AM872" s="92"/>
      <c r="AN872" s="351"/>
      <c r="AO872" s="197">
        <f t="shared" si="55"/>
        <v>0</v>
      </c>
      <c r="AP872" s="91"/>
      <c r="AQ872" s="217"/>
      <c r="AR872" s="103"/>
      <c r="AS872" s="264"/>
      <c r="AT872" s="94"/>
      <c r="AU872" s="84"/>
      <c r="AV872" s="136"/>
      <c r="AW872" s="77"/>
      <c r="AX872" s="137"/>
      <c r="AY872" s="138"/>
      <c r="AZ872" s="220">
        <f t="shared" si="52"/>
        <v>0</v>
      </c>
      <c r="BA872" s="220">
        <f t="shared" si="53"/>
        <v>0</v>
      </c>
    </row>
    <row r="873" spans="1:53" ht="50.1" customHeight="1" x14ac:dyDescent="0.25">
      <c r="A873" s="17">
        <f t="shared" si="54"/>
        <v>859</v>
      </c>
      <c r="B873" s="228"/>
      <c r="C873" s="221"/>
      <c r="D873" s="88"/>
      <c r="E873" s="100"/>
      <c r="F873" s="95"/>
      <c r="G873" s="114"/>
      <c r="H873" s="96"/>
      <c r="I873" s="97"/>
      <c r="J873" s="98"/>
      <c r="K873" s="101"/>
      <c r="L873" s="124"/>
      <c r="M873" s="333"/>
      <c r="N873" s="341"/>
      <c r="O873" s="82"/>
      <c r="P873" s="93"/>
      <c r="Q873" s="82"/>
      <c r="R873" s="93"/>
      <c r="S873" s="298"/>
      <c r="T873" s="304"/>
      <c r="U873" s="307"/>
      <c r="V873" s="309"/>
      <c r="W873" s="248"/>
      <c r="X873" s="342"/>
      <c r="Y873" s="336"/>
      <c r="Z873" s="123"/>
      <c r="AA873" s="33"/>
      <c r="AB873" s="123"/>
      <c r="AC873" s="33"/>
      <c r="AD873" s="123"/>
      <c r="AE873" s="33"/>
      <c r="AF873" s="123"/>
      <c r="AG873" s="243"/>
      <c r="AH873" s="33"/>
      <c r="AI873" s="245"/>
      <c r="AJ873" s="125"/>
      <c r="AK873" s="91"/>
      <c r="AL873" s="126"/>
      <c r="AM873" s="91"/>
      <c r="AN873" s="91"/>
      <c r="AO873" s="197">
        <f t="shared" si="55"/>
        <v>0</v>
      </c>
      <c r="AP873" s="126"/>
      <c r="AQ873" s="216"/>
      <c r="AR873" s="127"/>
      <c r="AS873" s="269"/>
      <c r="AT873" s="94"/>
      <c r="AU873" s="84"/>
      <c r="AV873" s="80"/>
      <c r="AW873" s="81"/>
      <c r="AX873" s="77"/>
      <c r="AY873" s="107"/>
      <c r="AZ873" s="220">
        <f t="shared" si="52"/>
        <v>0</v>
      </c>
      <c r="BA873" s="220">
        <f t="shared" si="53"/>
        <v>0</v>
      </c>
    </row>
    <row r="874" spans="1:53" ht="50.1" customHeight="1" x14ac:dyDescent="0.25">
      <c r="A874" s="17">
        <f t="shared" si="54"/>
        <v>860</v>
      </c>
      <c r="B874" s="229"/>
      <c r="C874" s="222"/>
      <c r="D874" s="112"/>
      <c r="E874" s="128"/>
      <c r="F874" s="129"/>
      <c r="G874" s="130"/>
      <c r="H874" s="131"/>
      <c r="I874" s="132"/>
      <c r="J874" s="108"/>
      <c r="K874" s="133"/>
      <c r="L874" s="134"/>
      <c r="M874" s="334"/>
      <c r="N874" s="343"/>
      <c r="O874" s="135"/>
      <c r="P874" s="82"/>
      <c r="Q874" s="135"/>
      <c r="R874" s="82"/>
      <c r="S874" s="299"/>
      <c r="T874" s="305"/>
      <c r="U874" s="298"/>
      <c r="V874" s="304"/>
      <c r="W874" s="249"/>
      <c r="X874" s="344"/>
      <c r="Y874" s="337"/>
      <c r="Z874" s="33"/>
      <c r="AA874" s="83"/>
      <c r="AB874" s="33"/>
      <c r="AC874" s="83"/>
      <c r="AD874" s="33"/>
      <c r="AE874" s="83"/>
      <c r="AF874" s="33"/>
      <c r="AG874" s="244"/>
      <c r="AH874" s="83"/>
      <c r="AI874" s="246"/>
      <c r="AJ874" s="102"/>
      <c r="AK874" s="92"/>
      <c r="AL874" s="91"/>
      <c r="AM874" s="92"/>
      <c r="AN874" s="351"/>
      <c r="AO874" s="197">
        <f t="shared" si="55"/>
        <v>0</v>
      </c>
      <c r="AP874" s="91"/>
      <c r="AQ874" s="217"/>
      <c r="AR874" s="103"/>
      <c r="AS874" s="264"/>
      <c r="AT874" s="94"/>
      <c r="AU874" s="84"/>
      <c r="AV874" s="136"/>
      <c r="AW874" s="77"/>
      <c r="AX874" s="137"/>
      <c r="AY874" s="138"/>
      <c r="AZ874" s="220">
        <f t="shared" si="52"/>
        <v>0</v>
      </c>
      <c r="BA874" s="220">
        <f t="shared" si="53"/>
        <v>0</v>
      </c>
    </row>
    <row r="875" spans="1:53" ht="50.1" customHeight="1" x14ac:dyDescent="0.25">
      <c r="A875" s="17">
        <f t="shared" si="54"/>
        <v>861</v>
      </c>
      <c r="B875" s="228"/>
      <c r="C875" s="221"/>
      <c r="D875" s="88"/>
      <c r="E875" s="100"/>
      <c r="F875" s="95"/>
      <c r="G875" s="114"/>
      <c r="H875" s="96"/>
      <c r="I875" s="97"/>
      <c r="J875" s="98"/>
      <c r="K875" s="101"/>
      <c r="L875" s="124"/>
      <c r="M875" s="333"/>
      <c r="N875" s="341"/>
      <c r="O875" s="82"/>
      <c r="P875" s="93"/>
      <c r="Q875" s="82"/>
      <c r="R875" s="93"/>
      <c r="S875" s="298"/>
      <c r="T875" s="304"/>
      <c r="U875" s="307"/>
      <c r="V875" s="309"/>
      <c r="W875" s="248"/>
      <c r="X875" s="342"/>
      <c r="Y875" s="336"/>
      <c r="Z875" s="123"/>
      <c r="AA875" s="33"/>
      <c r="AB875" s="123"/>
      <c r="AC875" s="33"/>
      <c r="AD875" s="123"/>
      <c r="AE875" s="33"/>
      <c r="AF875" s="123"/>
      <c r="AG875" s="243"/>
      <c r="AH875" s="33"/>
      <c r="AI875" s="245"/>
      <c r="AJ875" s="125"/>
      <c r="AK875" s="91"/>
      <c r="AL875" s="126"/>
      <c r="AM875" s="91"/>
      <c r="AN875" s="91"/>
      <c r="AO875" s="197">
        <f t="shared" si="55"/>
        <v>0</v>
      </c>
      <c r="AP875" s="126"/>
      <c r="AQ875" s="216"/>
      <c r="AR875" s="127"/>
      <c r="AS875" s="269"/>
      <c r="AT875" s="94"/>
      <c r="AU875" s="84"/>
      <c r="AV875" s="80"/>
      <c r="AW875" s="81"/>
      <c r="AX875" s="77"/>
      <c r="AY875" s="107"/>
      <c r="AZ875" s="220">
        <f t="shared" si="52"/>
        <v>0</v>
      </c>
      <c r="BA875" s="220">
        <f t="shared" si="53"/>
        <v>0</v>
      </c>
    </row>
    <row r="876" spans="1:53" ht="50.1" customHeight="1" x14ac:dyDescent="0.25">
      <c r="A876" s="17">
        <f t="shared" si="54"/>
        <v>862</v>
      </c>
      <c r="B876" s="229"/>
      <c r="C876" s="222"/>
      <c r="D876" s="112"/>
      <c r="E876" s="128"/>
      <c r="F876" s="129"/>
      <c r="G876" s="130"/>
      <c r="H876" s="131"/>
      <c r="I876" s="132"/>
      <c r="J876" s="108"/>
      <c r="K876" s="133"/>
      <c r="L876" s="134"/>
      <c r="M876" s="334"/>
      <c r="N876" s="343"/>
      <c r="O876" s="135"/>
      <c r="P876" s="82"/>
      <c r="Q876" s="135"/>
      <c r="R876" s="82"/>
      <c r="S876" s="299"/>
      <c r="T876" s="305"/>
      <c r="U876" s="298"/>
      <c r="V876" s="304"/>
      <c r="W876" s="249"/>
      <c r="X876" s="344"/>
      <c r="Y876" s="337"/>
      <c r="Z876" s="33"/>
      <c r="AA876" s="83"/>
      <c r="AB876" s="33"/>
      <c r="AC876" s="83"/>
      <c r="AD876" s="33"/>
      <c r="AE876" s="83"/>
      <c r="AF876" s="33"/>
      <c r="AG876" s="244"/>
      <c r="AH876" s="83"/>
      <c r="AI876" s="246"/>
      <c r="AJ876" s="102"/>
      <c r="AK876" s="92"/>
      <c r="AL876" s="91"/>
      <c r="AM876" s="92"/>
      <c r="AN876" s="351"/>
      <c r="AO876" s="197">
        <f t="shared" si="55"/>
        <v>0</v>
      </c>
      <c r="AP876" s="91"/>
      <c r="AQ876" s="217"/>
      <c r="AR876" s="103"/>
      <c r="AS876" s="264"/>
      <c r="AT876" s="94"/>
      <c r="AU876" s="84"/>
      <c r="AV876" s="136"/>
      <c r="AW876" s="77"/>
      <c r="AX876" s="137"/>
      <c r="AY876" s="138"/>
      <c r="AZ876" s="220">
        <f t="shared" si="52"/>
        <v>0</v>
      </c>
      <c r="BA876" s="220">
        <f t="shared" si="53"/>
        <v>0</v>
      </c>
    </row>
    <row r="877" spans="1:53" ht="50.1" customHeight="1" x14ac:dyDescent="0.25">
      <c r="A877" s="17">
        <f t="shared" si="54"/>
        <v>863</v>
      </c>
      <c r="B877" s="228"/>
      <c r="C877" s="221"/>
      <c r="D877" s="88"/>
      <c r="E877" s="100"/>
      <c r="F877" s="95"/>
      <c r="G877" s="114"/>
      <c r="H877" s="96"/>
      <c r="I877" s="97"/>
      <c r="J877" s="98"/>
      <c r="K877" s="101"/>
      <c r="L877" s="124"/>
      <c r="M877" s="333"/>
      <c r="N877" s="341"/>
      <c r="O877" s="82"/>
      <c r="P877" s="93"/>
      <c r="Q877" s="82"/>
      <c r="R877" s="93"/>
      <c r="S877" s="298"/>
      <c r="T877" s="304"/>
      <c r="U877" s="307"/>
      <c r="V877" s="309"/>
      <c r="W877" s="248"/>
      <c r="X877" s="342"/>
      <c r="Y877" s="336"/>
      <c r="Z877" s="123"/>
      <c r="AA877" s="33"/>
      <c r="AB877" s="123"/>
      <c r="AC877" s="33"/>
      <c r="AD877" s="123"/>
      <c r="AE877" s="33"/>
      <c r="AF877" s="123"/>
      <c r="AG877" s="243"/>
      <c r="AH877" s="33"/>
      <c r="AI877" s="245"/>
      <c r="AJ877" s="125"/>
      <c r="AK877" s="91"/>
      <c r="AL877" s="126"/>
      <c r="AM877" s="91"/>
      <c r="AN877" s="91"/>
      <c r="AO877" s="197">
        <f t="shared" si="55"/>
        <v>0</v>
      </c>
      <c r="AP877" s="126"/>
      <c r="AQ877" s="216"/>
      <c r="AR877" s="127"/>
      <c r="AS877" s="269"/>
      <c r="AT877" s="94"/>
      <c r="AU877" s="84"/>
      <c r="AV877" s="80"/>
      <c r="AW877" s="81"/>
      <c r="AX877" s="77"/>
      <c r="AY877" s="107"/>
      <c r="AZ877" s="220">
        <f t="shared" si="52"/>
        <v>0</v>
      </c>
      <c r="BA877" s="220">
        <f t="shared" si="53"/>
        <v>0</v>
      </c>
    </row>
    <row r="878" spans="1:53" ht="50.1" customHeight="1" x14ac:dyDescent="0.25">
      <c r="A878" s="17">
        <f t="shared" si="54"/>
        <v>864</v>
      </c>
      <c r="B878" s="229"/>
      <c r="C878" s="222"/>
      <c r="D878" s="112"/>
      <c r="E878" s="128"/>
      <c r="F878" s="129"/>
      <c r="G878" s="130"/>
      <c r="H878" s="131"/>
      <c r="I878" s="132"/>
      <c r="J878" s="108"/>
      <c r="K878" s="133"/>
      <c r="L878" s="134"/>
      <c r="M878" s="334"/>
      <c r="N878" s="343"/>
      <c r="O878" s="135"/>
      <c r="P878" s="82"/>
      <c r="Q878" s="135"/>
      <c r="R878" s="82"/>
      <c r="S878" s="299"/>
      <c r="T878" s="305"/>
      <c r="U878" s="298"/>
      <c r="V878" s="304"/>
      <c r="W878" s="249"/>
      <c r="X878" s="344"/>
      <c r="Y878" s="337"/>
      <c r="Z878" s="33"/>
      <c r="AA878" s="83"/>
      <c r="AB878" s="33"/>
      <c r="AC878" s="83"/>
      <c r="AD878" s="33"/>
      <c r="AE878" s="83"/>
      <c r="AF878" s="33"/>
      <c r="AG878" s="244"/>
      <c r="AH878" s="83"/>
      <c r="AI878" s="246"/>
      <c r="AJ878" s="102"/>
      <c r="AK878" s="92"/>
      <c r="AL878" s="91"/>
      <c r="AM878" s="92"/>
      <c r="AN878" s="351"/>
      <c r="AO878" s="197">
        <f t="shared" si="55"/>
        <v>0</v>
      </c>
      <c r="AP878" s="91"/>
      <c r="AQ878" s="217"/>
      <c r="AR878" s="103"/>
      <c r="AS878" s="264"/>
      <c r="AT878" s="94"/>
      <c r="AU878" s="84"/>
      <c r="AV878" s="136"/>
      <c r="AW878" s="77"/>
      <c r="AX878" s="137"/>
      <c r="AY878" s="138"/>
      <c r="AZ878" s="220">
        <f t="shared" si="52"/>
        <v>0</v>
      </c>
      <c r="BA878" s="220">
        <f t="shared" si="53"/>
        <v>0</v>
      </c>
    </row>
    <row r="879" spans="1:53" ht="50.1" customHeight="1" x14ac:dyDescent="0.25">
      <c r="A879" s="17">
        <f t="shared" si="54"/>
        <v>865</v>
      </c>
      <c r="B879" s="228"/>
      <c r="C879" s="221"/>
      <c r="D879" s="88"/>
      <c r="E879" s="100"/>
      <c r="F879" s="95"/>
      <c r="G879" s="114"/>
      <c r="H879" s="96"/>
      <c r="I879" s="97"/>
      <c r="J879" s="98"/>
      <c r="K879" s="101"/>
      <c r="L879" s="124"/>
      <c r="M879" s="333"/>
      <c r="N879" s="341"/>
      <c r="O879" s="82"/>
      <c r="P879" s="93"/>
      <c r="Q879" s="82"/>
      <c r="R879" s="93"/>
      <c r="S879" s="298"/>
      <c r="T879" s="304"/>
      <c r="U879" s="307"/>
      <c r="V879" s="309"/>
      <c r="W879" s="248"/>
      <c r="X879" s="342"/>
      <c r="Y879" s="336"/>
      <c r="Z879" s="123"/>
      <c r="AA879" s="33"/>
      <c r="AB879" s="123"/>
      <c r="AC879" s="33"/>
      <c r="AD879" s="123"/>
      <c r="AE879" s="33"/>
      <c r="AF879" s="123"/>
      <c r="AG879" s="243"/>
      <c r="AH879" s="33"/>
      <c r="AI879" s="245"/>
      <c r="AJ879" s="125"/>
      <c r="AK879" s="91"/>
      <c r="AL879" s="126"/>
      <c r="AM879" s="91"/>
      <c r="AN879" s="91"/>
      <c r="AO879" s="197">
        <f t="shared" si="55"/>
        <v>0</v>
      </c>
      <c r="AP879" s="126"/>
      <c r="AQ879" s="216"/>
      <c r="AR879" s="127"/>
      <c r="AS879" s="269"/>
      <c r="AT879" s="94"/>
      <c r="AU879" s="84"/>
      <c r="AV879" s="80"/>
      <c r="AW879" s="81"/>
      <c r="AX879" s="77"/>
      <c r="AY879" s="107"/>
      <c r="AZ879" s="220">
        <f t="shared" si="52"/>
        <v>0</v>
      </c>
      <c r="BA879" s="220">
        <f t="shared" si="53"/>
        <v>0</v>
      </c>
    </row>
    <row r="880" spans="1:53" ht="50.1" customHeight="1" x14ac:dyDescent="0.25">
      <c r="A880" s="17">
        <f t="shared" si="54"/>
        <v>866</v>
      </c>
      <c r="B880" s="229"/>
      <c r="C880" s="222"/>
      <c r="D880" s="112"/>
      <c r="E880" s="128"/>
      <c r="F880" s="129"/>
      <c r="G880" s="130"/>
      <c r="H880" s="131"/>
      <c r="I880" s="132"/>
      <c r="J880" s="108"/>
      <c r="K880" s="133"/>
      <c r="L880" s="134"/>
      <c r="M880" s="334"/>
      <c r="N880" s="343"/>
      <c r="O880" s="135"/>
      <c r="P880" s="82"/>
      <c r="Q880" s="135"/>
      <c r="R880" s="82"/>
      <c r="S880" s="299"/>
      <c r="T880" s="305"/>
      <c r="U880" s="298"/>
      <c r="V880" s="304"/>
      <c r="W880" s="249"/>
      <c r="X880" s="344"/>
      <c r="Y880" s="337"/>
      <c r="Z880" s="33"/>
      <c r="AA880" s="83"/>
      <c r="AB880" s="33"/>
      <c r="AC880" s="83"/>
      <c r="AD880" s="33"/>
      <c r="AE880" s="83"/>
      <c r="AF880" s="33"/>
      <c r="AG880" s="244"/>
      <c r="AH880" s="83"/>
      <c r="AI880" s="246"/>
      <c r="AJ880" s="102"/>
      <c r="AK880" s="92"/>
      <c r="AL880" s="91"/>
      <c r="AM880" s="92"/>
      <c r="AN880" s="351"/>
      <c r="AO880" s="197">
        <f t="shared" si="55"/>
        <v>0</v>
      </c>
      <c r="AP880" s="91"/>
      <c r="AQ880" s="217"/>
      <c r="AR880" s="103"/>
      <c r="AS880" s="264"/>
      <c r="AT880" s="94"/>
      <c r="AU880" s="84"/>
      <c r="AV880" s="136"/>
      <c r="AW880" s="77"/>
      <c r="AX880" s="137"/>
      <c r="AY880" s="138"/>
      <c r="AZ880" s="220">
        <f t="shared" si="52"/>
        <v>0</v>
      </c>
      <c r="BA880" s="220">
        <f t="shared" si="53"/>
        <v>0</v>
      </c>
    </row>
    <row r="881" spans="1:53" ht="50.1" customHeight="1" x14ac:dyDescent="0.25">
      <c r="A881" s="17">
        <f t="shared" si="54"/>
        <v>867</v>
      </c>
      <c r="B881" s="228"/>
      <c r="C881" s="221"/>
      <c r="D881" s="88"/>
      <c r="E881" s="100"/>
      <c r="F881" s="95"/>
      <c r="G881" s="114"/>
      <c r="H881" s="96"/>
      <c r="I881" s="97"/>
      <c r="J881" s="98"/>
      <c r="K881" s="101"/>
      <c r="L881" s="124"/>
      <c r="M881" s="333"/>
      <c r="N881" s="341"/>
      <c r="O881" s="82"/>
      <c r="P881" s="93"/>
      <c r="Q881" s="82"/>
      <c r="R881" s="93"/>
      <c r="S881" s="298"/>
      <c r="T881" s="304"/>
      <c r="U881" s="307"/>
      <c r="V881" s="309"/>
      <c r="W881" s="248"/>
      <c r="X881" s="342"/>
      <c r="Y881" s="336"/>
      <c r="Z881" s="123"/>
      <c r="AA881" s="33"/>
      <c r="AB881" s="123"/>
      <c r="AC881" s="33"/>
      <c r="AD881" s="123"/>
      <c r="AE881" s="33"/>
      <c r="AF881" s="123"/>
      <c r="AG881" s="243"/>
      <c r="AH881" s="33"/>
      <c r="AI881" s="245"/>
      <c r="AJ881" s="125"/>
      <c r="AK881" s="91"/>
      <c r="AL881" s="126"/>
      <c r="AM881" s="91"/>
      <c r="AN881" s="91"/>
      <c r="AO881" s="197">
        <f t="shared" si="55"/>
        <v>0</v>
      </c>
      <c r="AP881" s="126"/>
      <c r="AQ881" s="216"/>
      <c r="AR881" s="127"/>
      <c r="AS881" s="269"/>
      <c r="AT881" s="94"/>
      <c r="AU881" s="84"/>
      <c r="AV881" s="80"/>
      <c r="AW881" s="81"/>
      <c r="AX881" s="77"/>
      <c r="AY881" s="107"/>
      <c r="AZ881" s="220">
        <f t="shared" si="52"/>
        <v>0</v>
      </c>
      <c r="BA881" s="220">
        <f t="shared" si="53"/>
        <v>0</v>
      </c>
    </row>
    <row r="882" spans="1:53" ht="50.1" customHeight="1" x14ac:dyDescent="0.25">
      <c r="A882" s="17">
        <f t="shared" si="54"/>
        <v>868</v>
      </c>
      <c r="B882" s="229"/>
      <c r="C882" s="222"/>
      <c r="D882" s="112"/>
      <c r="E882" s="128"/>
      <c r="F882" s="129"/>
      <c r="G882" s="130"/>
      <c r="H882" s="131"/>
      <c r="I882" s="132"/>
      <c r="J882" s="108"/>
      <c r="K882" s="133"/>
      <c r="L882" s="134"/>
      <c r="M882" s="334"/>
      <c r="N882" s="343"/>
      <c r="O882" s="135"/>
      <c r="P882" s="82"/>
      <c r="Q882" s="135"/>
      <c r="R882" s="82"/>
      <c r="S882" s="299"/>
      <c r="T882" s="305"/>
      <c r="U882" s="298"/>
      <c r="V882" s="304"/>
      <c r="W882" s="249"/>
      <c r="X882" s="344"/>
      <c r="Y882" s="337"/>
      <c r="Z882" s="33"/>
      <c r="AA882" s="83"/>
      <c r="AB882" s="33"/>
      <c r="AC882" s="83"/>
      <c r="AD882" s="33"/>
      <c r="AE882" s="83"/>
      <c r="AF882" s="33"/>
      <c r="AG882" s="244"/>
      <c r="AH882" s="83"/>
      <c r="AI882" s="246"/>
      <c r="AJ882" s="102"/>
      <c r="AK882" s="92"/>
      <c r="AL882" s="91"/>
      <c r="AM882" s="92"/>
      <c r="AN882" s="351"/>
      <c r="AO882" s="197">
        <f t="shared" si="55"/>
        <v>0</v>
      </c>
      <c r="AP882" s="91"/>
      <c r="AQ882" s="217"/>
      <c r="AR882" s="103"/>
      <c r="AS882" s="264"/>
      <c r="AT882" s="94"/>
      <c r="AU882" s="84"/>
      <c r="AV882" s="136"/>
      <c r="AW882" s="77"/>
      <c r="AX882" s="137"/>
      <c r="AY882" s="138"/>
      <c r="AZ882" s="220">
        <f t="shared" si="52"/>
        <v>0</v>
      </c>
      <c r="BA882" s="220">
        <f t="shared" si="53"/>
        <v>0</v>
      </c>
    </row>
    <row r="883" spans="1:53" ht="50.1" customHeight="1" x14ac:dyDescent="0.25">
      <c r="A883" s="17">
        <f t="shared" si="54"/>
        <v>869</v>
      </c>
      <c r="B883" s="228"/>
      <c r="C883" s="221"/>
      <c r="D883" s="88"/>
      <c r="E883" s="100"/>
      <c r="F883" s="95"/>
      <c r="G883" s="114"/>
      <c r="H883" s="96"/>
      <c r="I883" s="97"/>
      <c r="J883" s="98"/>
      <c r="K883" s="101"/>
      <c r="L883" s="124"/>
      <c r="M883" s="333"/>
      <c r="N883" s="341"/>
      <c r="O883" s="82"/>
      <c r="P883" s="93"/>
      <c r="Q883" s="82"/>
      <c r="R883" s="93"/>
      <c r="S883" s="298"/>
      <c r="T883" s="304"/>
      <c r="U883" s="307"/>
      <c r="V883" s="309"/>
      <c r="W883" s="248"/>
      <c r="X883" s="342"/>
      <c r="Y883" s="336"/>
      <c r="Z883" s="123"/>
      <c r="AA883" s="33"/>
      <c r="AB883" s="123"/>
      <c r="AC883" s="33"/>
      <c r="AD883" s="123"/>
      <c r="AE883" s="33"/>
      <c r="AF883" s="123"/>
      <c r="AG883" s="243"/>
      <c r="AH883" s="33"/>
      <c r="AI883" s="245"/>
      <c r="AJ883" s="125"/>
      <c r="AK883" s="91"/>
      <c r="AL883" s="126"/>
      <c r="AM883" s="91"/>
      <c r="AN883" s="91"/>
      <c r="AO883" s="197">
        <f t="shared" si="55"/>
        <v>0</v>
      </c>
      <c r="AP883" s="126"/>
      <c r="AQ883" s="216"/>
      <c r="AR883" s="127"/>
      <c r="AS883" s="269"/>
      <c r="AT883" s="94"/>
      <c r="AU883" s="84"/>
      <c r="AV883" s="80"/>
      <c r="AW883" s="81"/>
      <c r="AX883" s="77"/>
      <c r="AY883" s="107"/>
      <c r="AZ883" s="220">
        <f t="shared" si="52"/>
        <v>0</v>
      </c>
      <c r="BA883" s="220">
        <f t="shared" si="53"/>
        <v>0</v>
      </c>
    </row>
    <row r="884" spans="1:53" ht="50.1" customHeight="1" x14ac:dyDescent="0.25">
      <c r="A884" s="17">
        <f t="shared" si="54"/>
        <v>870</v>
      </c>
      <c r="B884" s="229"/>
      <c r="C884" s="222"/>
      <c r="D884" s="112"/>
      <c r="E884" s="128"/>
      <c r="F884" s="129"/>
      <c r="G884" s="130"/>
      <c r="H884" s="131"/>
      <c r="I884" s="132"/>
      <c r="J884" s="108"/>
      <c r="K884" s="133"/>
      <c r="L884" s="134"/>
      <c r="M884" s="334"/>
      <c r="N884" s="343"/>
      <c r="O884" s="135"/>
      <c r="P884" s="82"/>
      <c r="Q884" s="135"/>
      <c r="R884" s="82"/>
      <c r="S884" s="299"/>
      <c r="T884" s="305"/>
      <c r="U884" s="298"/>
      <c r="V884" s="304"/>
      <c r="W884" s="249"/>
      <c r="X884" s="344"/>
      <c r="Y884" s="337"/>
      <c r="Z884" s="33"/>
      <c r="AA884" s="83"/>
      <c r="AB884" s="33"/>
      <c r="AC884" s="83"/>
      <c r="AD884" s="33"/>
      <c r="AE884" s="83"/>
      <c r="AF884" s="33"/>
      <c r="AG884" s="244"/>
      <c r="AH884" s="83"/>
      <c r="AI884" s="246"/>
      <c r="AJ884" s="102"/>
      <c r="AK884" s="92"/>
      <c r="AL884" s="91"/>
      <c r="AM884" s="92"/>
      <c r="AN884" s="351"/>
      <c r="AO884" s="197">
        <f t="shared" si="55"/>
        <v>0</v>
      </c>
      <c r="AP884" s="91"/>
      <c r="AQ884" s="217"/>
      <c r="AR884" s="103"/>
      <c r="AS884" s="264"/>
      <c r="AT884" s="94"/>
      <c r="AU884" s="84"/>
      <c r="AV884" s="136"/>
      <c r="AW884" s="77"/>
      <c r="AX884" s="137"/>
      <c r="AY884" s="138"/>
      <c r="AZ884" s="220">
        <f t="shared" si="52"/>
        <v>0</v>
      </c>
      <c r="BA884" s="220">
        <f t="shared" si="53"/>
        <v>0</v>
      </c>
    </row>
    <row r="885" spans="1:53" ht="50.1" customHeight="1" x14ac:dyDescent="0.25">
      <c r="A885" s="17">
        <f t="shared" si="54"/>
        <v>871</v>
      </c>
      <c r="B885" s="228"/>
      <c r="C885" s="221"/>
      <c r="D885" s="88"/>
      <c r="E885" s="100"/>
      <c r="F885" s="95"/>
      <c r="G885" s="114"/>
      <c r="H885" s="96"/>
      <c r="I885" s="97"/>
      <c r="J885" s="98"/>
      <c r="K885" s="101"/>
      <c r="L885" s="124"/>
      <c r="M885" s="333"/>
      <c r="N885" s="341"/>
      <c r="O885" s="82"/>
      <c r="P885" s="93"/>
      <c r="Q885" s="82"/>
      <c r="R885" s="93"/>
      <c r="S885" s="298"/>
      <c r="T885" s="304"/>
      <c r="U885" s="307"/>
      <c r="V885" s="309"/>
      <c r="W885" s="248"/>
      <c r="X885" s="342"/>
      <c r="Y885" s="336"/>
      <c r="Z885" s="123"/>
      <c r="AA885" s="33"/>
      <c r="AB885" s="123"/>
      <c r="AC885" s="33"/>
      <c r="AD885" s="123"/>
      <c r="AE885" s="33"/>
      <c r="AF885" s="123"/>
      <c r="AG885" s="243"/>
      <c r="AH885" s="33"/>
      <c r="AI885" s="245"/>
      <c r="AJ885" s="125"/>
      <c r="AK885" s="91"/>
      <c r="AL885" s="126"/>
      <c r="AM885" s="91"/>
      <c r="AN885" s="91"/>
      <c r="AO885" s="197">
        <f t="shared" si="55"/>
        <v>0</v>
      </c>
      <c r="AP885" s="126"/>
      <c r="AQ885" s="216"/>
      <c r="AR885" s="127"/>
      <c r="AS885" s="269"/>
      <c r="AT885" s="94"/>
      <c r="AU885" s="84"/>
      <c r="AV885" s="80"/>
      <c r="AW885" s="81"/>
      <c r="AX885" s="77"/>
      <c r="AY885" s="107"/>
      <c r="AZ885" s="220">
        <f t="shared" si="52"/>
        <v>0</v>
      </c>
      <c r="BA885" s="220">
        <f t="shared" si="53"/>
        <v>0</v>
      </c>
    </row>
    <row r="886" spans="1:53" ht="50.1" customHeight="1" x14ac:dyDescent="0.25">
      <c r="A886" s="17">
        <f t="shared" si="54"/>
        <v>872</v>
      </c>
      <c r="B886" s="229"/>
      <c r="C886" s="222"/>
      <c r="D886" s="112"/>
      <c r="E886" s="128"/>
      <c r="F886" s="129"/>
      <c r="G886" s="130"/>
      <c r="H886" s="131"/>
      <c r="I886" s="132"/>
      <c r="J886" s="108"/>
      <c r="K886" s="133"/>
      <c r="L886" s="134"/>
      <c r="M886" s="334"/>
      <c r="N886" s="343"/>
      <c r="O886" s="135"/>
      <c r="P886" s="82"/>
      <c r="Q886" s="135"/>
      <c r="R886" s="82"/>
      <c r="S886" s="299"/>
      <c r="T886" s="305"/>
      <c r="U886" s="298"/>
      <c r="V886" s="304"/>
      <c r="W886" s="249"/>
      <c r="X886" s="344"/>
      <c r="Y886" s="337"/>
      <c r="Z886" s="33"/>
      <c r="AA886" s="83"/>
      <c r="AB886" s="33"/>
      <c r="AC886" s="83"/>
      <c r="AD886" s="33"/>
      <c r="AE886" s="83"/>
      <c r="AF886" s="33"/>
      <c r="AG886" s="244"/>
      <c r="AH886" s="83"/>
      <c r="AI886" s="246"/>
      <c r="AJ886" s="102"/>
      <c r="AK886" s="92"/>
      <c r="AL886" s="91"/>
      <c r="AM886" s="92"/>
      <c r="AN886" s="351"/>
      <c r="AO886" s="197">
        <f t="shared" si="55"/>
        <v>0</v>
      </c>
      <c r="AP886" s="91"/>
      <c r="AQ886" s="217"/>
      <c r="AR886" s="103"/>
      <c r="AS886" s="264"/>
      <c r="AT886" s="94"/>
      <c r="AU886" s="84"/>
      <c r="AV886" s="136"/>
      <c r="AW886" s="77"/>
      <c r="AX886" s="137"/>
      <c r="AY886" s="138"/>
      <c r="AZ886" s="220">
        <f t="shared" si="52"/>
        <v>0</v>
      </c>
      <c r="BA886" s="220">
        <f t="shared" si="53"/>
        <v>0</v>
      </c>
    </row>
    <row r="887" spans="1:53" ht="50.1" customHeight="1" x14ac:dyDescent="0.25">
      <c r="A887" s="17">
        <f t="shared" si="54"/>
        <v>873</v>
      </c>
      <c r="B887" s="228"/>
      <c r="C887" s="221"/>
      <c r="D887" s="88"/>
      <c r="E887" s="100"/>
      <c r="F887" s="95"/>
      <c r="G887" s="114"/>
      <c r="H887" s="96"/>
      <c r="I887" s="97"/>
      <c r="J887" s="98"/>
      <c r="K887" s="101"/>
      <c r="L887" s="124"/>
      <c r="M887" s="333"/>
      <c r="N887" s="341"/>
      <c r="O887" s="82"/>
      <c r="P887" s="93"/>
      <c r="Q887" s="82"/>
      <c r="R887" s="93"/>
      <c r="S887" s="298"/>
      <c r="T887" s="304"/>
      <c r="U887" s="307"/>
      <c r="V887" s="309"/>
      <c r="W887" s="248"/>
      <c r="X887" s="342"/>
      <c r="Y887" s="336"/>
      <c r="Z887" s="123"/>
      <c r="AA887" s="33"/>
      <c r="AB887" s="123"/>
      <c r="AC887" s="33"/>
      <c r="AD887" s="123"/>
      <c r="AE887" s="33"/>
      <c r="AF887" s="123"/>
      <c r="AG887" s="243"/>
      <c r="AH887" s="33"/>
      <c r="AI887" s="245"/>
      <c r="AJ887" s="125"/>
      <c r="AK887" s="91"/>
      <c r="AL887" s="126"/>
      <c r="AM887" s="91"/>
      <c r="AN887" s="91"/>
      <c r="AO887" s="197">
        <f t="shared" si="55"/>
        <v>0</v>
      </c>
      <c r="AP887" s="126"/>
      <c r="AQ887" s="216"/>
      <c r="AR887" s="127"/>
      <c r="AS887" s="269"/>
      <c r="AT887" s="94"/>
      <c r="AU887" s="84"/>
      <c r="AV887" s="80"/>
      <c r="AW887" s="81"/>
      <c r="AX887" s="77"/>
      <c r="AY887" s="107"/>
      <c r="AZ887" s="220">
        <f t="shared" si="52"/>
        <v>0</v>
      </c>
      <c r="BA887" s="220">
        <f t="shared" si="53"/>
        <v>0</v>
      </c>
    </row>
    <row r="888" spans="1:53" ht="50.1" customHeight="1" x14ac:dyDescent="0.25">
      <c r="A888" s="17">
        <f t="shared" si="54"/>
        <v>874</v>
      </c>
      <c r="B888" s="229"/>
      <c r="C888" s="222"/>
      <c r="D888" s="112"/>
      <c r="E888" s="128"/>
      <c r="F888" s="129"/>
      <c r="G888" s="130"/>
      <c r="H888" s="131"/>
      <c r="I888" s="132"/>
      <c r="J888" s="108"/>
      <c r="K888" s="133"/>
      <c r="L888" s="134"/>
      <c r="M888" s="334"/>
      <c r="N888" s="343"/>
      <c r="O888" s="135"/>
      <c r="P888" s="82"/>
      <c r="Q888" s="135"/>
      <c r="R888" s="82"/>
      <c r="S888" s="299"/>
      <c r="T888" s="305"/>
      <c r="U888" s="298"/>
      <c r="V888" s="304"/>
      <c r="W888" s="249"/>
      <c r="X888" s="344"/>
      <c r="Y888" s="337"/>
      <c r="Z888" s="33"/>
      <c r="AA888" s="83"/>
      <c r="AB888" s="33"/>
      <c r="AC888" s="83"/>
      <c r="AD888" s="33"/>
      <c r="AE888" s="83"/>
      <c r="AF888" s="33"/>
      <c r="AG888" s="244"/>
      <c r="AH888" s="83"/>
      <c r="AI888" s="246"/>
      <c r="AJ888" s="102"/>
      <c r="AK888" s="92"/>
      <c r="AL888" s="91"/>
      <c r="AM888" s="92"/>
      <c r="AN888" s="351"/>
      <c r="AO888" s="197">
        <f t="shared" si="55"/>
        <v>0</v>
      </c>
      <c r="AP888" s="91"/>
      <c r="AQ888" s="217"/>
      <c r="AR888" s="103"/>
      <c r="AS888" s="264"/>
      <c r="AT888" s="94"/>
      <c r="AU888" s="84"/>
      <c r="AV888" s="136"/>
      <c r="AW888" s="77"/>
      <c r="AX888" s="137"/>
      <c r="AY888" s="138"/>
      <c r="AZ888" s="220">
        <f t="shared" si="52"/>
        <v>0</v>
      </c>
      <c r="BA888" s="220">
        <f t="shared" si="53"/>
        <v>0</v>
      </c>
    </row>
    <row r="889" spans="1:53" ht="50.1" customHeight="1" x14ac:dyDescent="0.25">
      <c r="A889" s="17">
        <f t="shared" si="54"/>
        <v>875</v>
      </c>
      <c r="B889" s="228"/>
      <c r="C889" s="221"/>
      <c r="D889" s="88"/>
      <c r="E889" s="100"/>
      <c r="F889" s="95"/>
      <c r="G889" s="114"/>
      <c r="H889" s="96"/>
      <c r="I889" s="97"/>
      <c r="J889" s="98"/>
      <c r="K889" s="101"/>
      <c r="L889" s="124"/>
      <c r="M889" s="333"/>
      <c r="N889" s="341"/>
      <c r="O889" s="82"/>
      <c r="P889" s="93"/>
      <c r="Q889" s="82"/>
      <c r="R889" s="93"/>
      <c r="S889" s="298"/>
      <c r="T889" s="304"/>
      <c r="U889" s="307"/>
      <c r="V889" s="309"/>
      <c r="W889" s="248"/>
      <c r="X889" s="342"/>
      <c r="Y889" s="336"/>
      <c r="Z889" s="123"/>
      <c r="AA889" s="33"/>
      <c r="AB889" s="123"/>
      <c r="AC889" s="33"/>
      <c r="AD889" s="123"/>
      <c r="AE889" s="33"/>
      <c r="AF889" s="123"/>
      <c r="AG889" s="243"/>
      <c r="AH889" s="33"/>
      <c r="AI889" s="245"/>
      <c r="AJ889" s="125"/>
      <c r="AK889" s="91"/>
      <c r="AL889" s="126"/>
      <c r="AM889" s="91"/>
      <c r="AN889" s="91"/>
      <c r="AO889" s="197">
        <f t="shared" si="55"/>
        <v>0</v>
      </c>
      <c r="AP889" s="126"/>
      <c r="AQ889" s="216"/>
      <c r="AR889" s="127"/>
      <c r="AS889" s="269"/>
      <c r="AT889" s="94"/>
      <c r="AU889" s="84"/>
      <c r="AV889" s="80"/>
      <c r="AW889" s="81"/>
      <c r="AX889" s="77"/>
      <c r="AY889" s="107"/>
      <c r="AZ889" s="220">
        <f t="shared" si="52"/>
        <v>0</v>
      </c>
      <c r="BA889" s="220">
        <f t="shared" si="53"/>
        <v>0</v>
      </c>
    </row>
    <row r="890" spans="1:53" ht="50.1" customHeight="1" x14ac:dyDescent="0.25">
      <c r="A890" s="17">
        <f t="shared" si="54"/>
        <v>876</v>
      </c>
      <c r="B890" s="229"/>
      <c r="C890" s="222"/>
      <c r="D890" s="112"/>
      <c r="E890" s="128"/>
      <c r="F890" s="129"/>
      <c r="G890" s="130"/>
      <c r="H890" s="131"/>
      <c r="I890" s="132"/>
      <c r="J890" s="108"/>
      <c r="K890" s="133"/>
      <c r="L890" s="134"/>
      <c r="M890" s="334"/>
      <c r="N890" s="343"/>
      <c r="O890" s="135"/>
      <c r="P890" s="82"/>
      <c r="Q890" s="135"/>
      <c r="R890" s="82"/>
      <c r="S890" s="299"/>
      <c r="T890" s="305"/>
      <c r="U890" s="298"/>
      <c r="V890" s="304"/>
      <c r="W890" s="249"/>
      <c r="X890" s="344"/>
      <c r="Y890" s="337"/>
      <c r="Z890" s="33"/>
      <c r="AA890" s="83"/>
      <c r="AB890" s="33"/>
      <c r="AC890" s="83"/>
      <c r="AD890" s="33"/>
      <c r="AE890" s="83"/>
      <c r="AF890" s="33"/>
      <c r="AG890" s="244"/>
      <c r="AH890" s="83"/>
      <c r="AI890" s="246"/>
      <c r="AJ890" s="102"/>
      <c r="AK890" s="92"/>
      <c r="AL890" s="91"/>
      <c r="AM890" s="92"/>
      <c r="AN890" s="351"/>
      <c r="AO890" s="197">
        <f t="shared" si="55"/>
        <v>0</v>
      </c>
      <c r="AP890" s="91"/>
      <c r="AQ890" s="217"/>
      <c r="AR890" s="103"/>
      <c r="AS890" s="264"/>
      <c r="AT890" s="94"/>
      <c r="AU890" s="84"/>
      <c r="AV890" s="136"/>
      <c r="AW890" s="77"/>
      <c r="AX890" s="137"/>
      <c r="AY890" s="138"/>
      <c r="AZ890" s="220">
        <f t="shared" si="52"/>
        <v>0</v>
      </c>
      <c r="BA890" s="220">
        <f t="shared" si="53"/>
        <v>0</v>
      </c>
    </row>
    <row r="891" spans="1:53" ht="50.1" customHeight="1" x14ac:dyDescent="0.25">
      <c r="A891" s="17">
        <f t="shared" si="54"/>
        <v>877</v>
      </c>
      <c r="B891" s="228"/>
      <c r="C891" s="221"/>
      <c r="D891" s="88"/>
      <c r="E891" s="100"/>
      <c r="F891" s="95"/>
      <c r="G891" s="114"/>
      <c r="H891" s="96"/>
      <c r="I891" s="97"/>
      <c r="J891" s="98"/>
      <c r="K891" s="101"/>
      <c r="L891" s="124"/>
      <c r="M891" s="333"/>
      <c r="N891" s="341"/>
      <c r="O891" s="82"/>
      <c r="P891" s="93"/>
      <c r="Q891" s="82"/>
      <c r="R891" s="93"/>
      <c r="S891" s="298"/>
      <c r="T891" s="304"/>
      <c r="U891" s="307"/>
      <c r="V891" s="309"/>
      <c r="W891" s="248"/>
      <c r="X891" s="342"/>
      <c r="Y891" s="336"/>
      <c r="Z891" s="123"/>
      <c r="AA891" s="33"/>
      <c r="AB891" s="123"/>
      <c r="AC891" s="33"/>
      <c r="AD891" s="123"/>
      <c r="AE891" s="33"/>
      <c r="AF891" s="123"/>
      <c r="AG891" s="243"/>
      <c r="AH891" s="33"/>
      <c r="AI891" s="245"/>
      <c r="AJ891" s="125"/>
      <c r="AK891" s="91"/>
      <c r="AL891" s="126"/>
      <c r="AM891" s="91"/>
      <c r="AN891" s="91"/>
      <c r="AO891" s="197">
        <f t="shared" si="55"/>
        <v>0</v>
      </c>
      <c r="AP891" s="126"/>
      <c r="AQ891" s="216"/>
      <c r="AR891" s="127"/>
      <c r="AS891" s="269"/>
      <c r="AT891" s="94"/>
      <c r="AU891" s="84"/>
      <c r="AV891" s="80"/>
      <c r="AW891" s="81"/>
      <c r="AX891" s="77"/>
      <c r="AY891" s="107"/>
      <c r="AZ891" s="220">
        <f t="shared" si="52"/>
        <v>0</v>
      </c>
      <c r="BA891" s="220">
        <f t="shared" si="53"/>
        <v>0</v>
      </c>
    </row>
    <row r="892" spans="1:53" ht="50.1" customHeight="1" x14ac:dyDescent="0.25">
      <c r="A892" s="17">
        <f t="shared" si="54"/>
        <v>878</v>
      </c>
      <c r="B892" s="229"/>
      <c r="C892" s="222"/>
      <c r="D892" s="112"/>
      <c r="E892" s="128"/>
      <c r="F892" s="129"/>
      <c r="G892" s="130"/>
      <c r="H892" s="131"/>
      <c r="I892" s="132"/>
      <c r="J892" s="108"/>
      <c r="K892" s="133"/>
      <c r="L892" s="134"/>
      <c r="M892" s="334"/>
      <c r="N892" s="343"/>
      <c r="O892" s="135"/>
      <c r="P892" s="82"/>
      <c r="Q892" s="135"/>
      <c r="R892" s="82"/>
      <c r="S892" s="299"/>
      <c r="T892" s="305"/>
      <c r="U892" s="298"/>
      <c r="V892" s="304"/>
      <c r="W892" s="249"/>
      <c r="X892" s="344"/>
      <c r="Y892" s="337"/>
      <c r="Z892" s="33"/>
      <c r="AA892" s="83"/>
      <c r="AB892" s="33"/>
      <c r="AC892" s="83"/>
      <c r="AD892" s="33"/>
      <c r="AE892" s="83"/>
      <c r="AF892" s="33"/>
      <c r="AG892" s="244"/>
      <c r="AH892" s="83"/>
      <c r="AI892" s="246"/>
      <c r="AJ892" s="102"/>
      <c r="AK892" s="92"/>
      <c r="AL892" s="91"/>
      <c r="AM892" s="92"/>
      <c r="AN892" s="351"/>
      <c r="AO892" s="197">
        <f t="shared" si="55"/>
        <v>0</v>
      </c>
      <c r="AP892" s="91"/>
      <c r="AQ892" s="217"/>
      <c r="AR892" s="103"/>
      <c r="AS892" s="264"/>
      <c r="AT892" s="94"/>
      <c r="AU892" s="84"/>
      <c r="AV892" s="136"/>
      <c r="AW892" s="77"/>
      <c r="AX892" s="137"/>
      <c r="AY892" s="138"/>
      <c r="AZ892" s="220">
        <f t="shared" si="52"/>
        <v>0</v>
      </c>
      <c r="BA892" s="220">
        <f t="shared" si="53"/>
        <v>0</v>
      </c>
    </row>
    <row r="893" spans="1:53" ht="50.1" customHeight="1" x14ac:dyDescent="0.25">
      <c r="A893" s="17">
        <f t="shared" si="54"/>
        <v>879</v>
      </c>
      <c r="B893" s="228"/>
      <c r="C893" s="221"/>
      <c r="D893" s="88"/>
      <c r="E893" s="100"/>
      <c r="F893" s="95"/>
      <c r="G893" s="114"/>
      <c r="H893" s="96"/>
      <c r="I893" s="97"/>
      <c r="J893" s="98"/>
      <c r="K893" s="101"/>
      <c r="L893" s="124"/>
      <c r="M893" s="333"/>
      <c r="N893" s="341"/>
      <c r="O893" s="82"/>
      <c r="P893" s="93"/>
      <c r="Q893" s="82"/>
      <c r="R893" s="93"/>
      <c r="S893" s="298"/>
      <c r="T893" s="304"/>
      <c r="U893" s="307"/>
      <c r="V893" s="309"/>
      <c r="W893" s="248"/>
      <c r="X893" s="342"/>
      <c r="Y893" s="336"/>
      <c r="Z893" s="123"/>
      <c r="AA893" s="33"/>
      <c r="AB893" s="123"/>
      <c r="AC893" s="33"/>
      <c r="AD893" s="123"/>
      <c r="AE893" s="33"/>
      <c r="AF893" s="123"/>
      <c r="AG893" s="243"/>
      <c r="AH893" s="33"/>
      <c r="AI893" s="245"/>
      <c r="AJ893" s="125"/>
      <c r="AK893" s="91"/>
      <c r="AL893" s="126"/>
      <c r="AM893" s="91"/>
      <c r="AN893" s="91"/>
      <c r="AO893" s="197">
        <f t="shared" si="55"/>
        <v>0</v>
      </c>
      <c r="AP893" s="126"/>
      <c r="AQ893" s="216"/>
      <c r="AR893" s="127"/>
      <c r="AS893" s="269"/>
      <c r="AT893" s="94"/>
      <c r="AU893" s="84"/>
      <c r="AV893" s="80"/>
      <c r="AW893" s="81"/>
      <c r="AX893" s="77"/>
      <c r="AY893" s="107"/>
      <c r="AZ893" s="220">
        <f t="shared" si="52"/>
        <v>0</v>
      </c>
      <c r="BA893" s="220">
        <f t="shared" si="53"/>
        <v>0</v>
      </c>
    </row>
    <row r="894" spans="1:53" ht="50.1" customHeight="1" x14ac:dyDescent="0.25">
      <c r="A894" s="17">
        <f t="shared" si="54"/>
        <v>880</v>
      </c>
      <c r="B894" s="229"/>
      <c r="C894" s="222"/>
      <c r="D894" s="112"/>
      <c r="E894" s="128"/>
      <c r="F894" s="129"/>
      <c r="G894" s="130"/>
      <c r="H894" s="131"/>
      <c r="I894" s="132"/>
      <c r="J894" s="108"/>
      <c r="K894" s="133"/>
      <c r="L894" s="134"/>
      <c r="M894" s="334"/>
      <c r="N894" s="343"/>
      <c r="O894" s="135"/>
      <c r="P894" s="82"/>
      <c r="Q894" s="135"/>
      <c r="R894" s="82"/>
      <c r="S894" s="299"/>
      <c r="T894" s="305"/>
      <c r="U894" s="298"/>
      <c r="V894" s="304"/>
      <c r="W894" s="249"/>
      <c r="X894" s="344"/>
      <c r="Y894" s="337"/>
      <c r="Z894" s="33"/>
      <c r="AA894" s="83"/>
      <c r="AB894" s="33"/>
      <c r="AC894" s="83"/>
      <c r="AD894" s="33"/>
      <c r="AE894" s="83"/>
      <c r="AF894" s="33"/>
      <c r="AG894" s="244"/>
      <c r="AH894" s="83"/>
      <c r="AI894" s="246"/>
      <c r="AJ894" s="102"/>
      <c r="AK894" s="92"/>
      <c r="AL894" s="91"/>
      <c r="AM894" s="92"/>
      <c r="AN894" s="351"/>
      <c r="AO894" s="197">
        <f t="shared" si="55"/>
        <v>0</v>
      </c>
      <c r="AP894" s="91"/>
      <c r="AQ894" s="217"/>
      <c r="AR894" s="103"/>
      <c r="AS894" s="264"/>
      <c r="AT894" s="94"/>
      <c r="AU894" s="84"/>
      <c r="AV894" s="136"/>
      <c r="AW894" s="77"/>
      <c r="AX894" s="137"/>
      <c r="AY894" s="138"/>
      <c r="AZ894" s="220">
        <f t="shared" si="52"/>
        <v>0</v>
      </c>
      <c r="BA894" s="220">
        <f t="shared" si="53"/>
        <v>0</v>
      </c>
    </row>
    <row r="895" spans="1:53" ht="50.1" customHeight="1" x14ac:dyDescent="0.25">
      <c r="A895" s="17">
        <f t="shared" si="54"/>
        <v>881</v>
      </c>
      <c r="B895" s="228"/>
      <c r="C895" s="221"/>
      <c r="D895" s="88"/>
      <c r="E895" s="100"/>
      <c r="F895" s="95"/>
      <c r="G895" s="114"/>
      <c r="H895" s="96"/>
      <c r="I895" s="97"/>
      <c r="J895" s="98"/>
      <c r="K895" s="101"/>
      <c r="L895" s="124"/>
      <c r="M895" s="333"/>
      <c r="N895" s="341"/>
      <c r="O895" s="82"/>
      <c r="P895" s="93"/>
      <c r="Q895" s="82"/>
      <c r="R895" s="93"/>
      <c r="S895" s="298"/>
      <c r="T895" s="304"/>
      <c r="U895" s="307"/>
      <c r="V895" s="309"/>
      <c r="W895" s="248"/>
      <c r="X895" s="342"/>
      <c r="Y895" s="336"/>
      <c r="Z895" s="123"/>
      <c r="AA895" s="33"/>
      <c r="AB895" s="123"/>
      <c r="AC895" s="33"/>
      <c r="AD895" s="123"/>
      <c r="AE895" s="33"/>
      <c r="AF895" s="123"/>
      <c r="AG895" s="243"/>
      <c r="AH895" s="33"/>
      <c r="AI895" s="245"/>
      <c r="AJ895" s="125"/>
      <c r="AK895" s="91"/>
      <c r="AL895" s="126"/>
      <c r="AM895" s="91"/>
      <c r="AN895" s="91"/>
      <c r="AO895" s="197">
        <f t="shared" si="55"/>
        <v>0</v>
      </c>
      <c r="AP895" s="126"/>
      <c r="AQ895" s="216"/>
      <c r="AR895" s="127"/>
      <c r="AS895" s="269"/>
      <c r="AT895" s="94"/>
      <c r="AU895" s="84"/>
      <c r="AV895" s="80"/>
      <c r="AW895" s="81"/>
      <c r="AX895" s="77"/>
      <c r="AY895" s="107"/>
      <c r="AZ895" s="220">
        <f t="shared" si="52"/>
        <v>0</v>
      </c>
      <c r="BA895" s="220">
        <f t="shared" si="53"/>
        <v>0</v>
      </c>
    </row>
    <row r="896" spans="1:53" ht="50.1" customHeight="1" x14ac:dyDescent="0.25">
      <c r="A896" s="17">
        <f t="shared" si="54"/>
        <v>882</v>
      </c>
      <c r="B896" s="229"/>
      <c r="C896" s="222"/>
      <c r="D896" s="112"/>
      <c r="E896" s="128"/>
      <c r="F896" s="129"/>
      <c r="G896" s="130"/>
      <c r="H896" s="131"/>
      <c r="I896" s="132"/>
      <c r="J896" s="108"/>
      <c r="K896" s="133"/>
      <c r="L896" s="134"/>
      <c r="M896" s="334"/>
      <c r="N896" s="343"/>
      <c r="O896" s="135"/>
      <c r="P896" s="82"/>
      <c r="Q896" s="135"/>
      <c r="R896" s="82"/>
      <c r="S896" s="299"/>
      <c r="T896" s="305"/>
      <c r="U896" s="298"/>
      <c r="V896" s="304"/>
      <c r="W896" s="249"/>
      <c r="X896" s="344"/>
      <c r="Y896" s="337"/>
      <c r="Z896" s="33"/>
      <c r="AA896" s="83"/>
      <c r="AB896" s="33"/>
      <c r="AC896" s="83"/>
      <c r="AD896" s="33"/>
      <c r="AE896" s="83"/>
      <c r="AF896" s="33"/>
      <c r="AG896" s="244"/>
      <c r="AH896" s="83"/>
      <c r="AI896" s="246"/>
      <c r="AJ896" s="102"/>
      <c r="AK896" s="92"/>
      <c r="AL896" s="91"/>
      <c r="AM896" s="92"/>
      <c r="AN896" s="351"/>
      <c r="AO896" s="197">
        <f t="shared" si="55"/>
        <v>0</v>
      </c>
      <c r="AP896" s="91"/>
      <c r="AQ896" s="217"/>
      <c r="AR896" s="103"/>
      <c r="AS896" s="264"/>
      <c r="AT896" s="94"/>
      <c r="AU896" s="84"/>
      <c r="AV896" s="136"/>
      <c r="AW896" s="77"/>
      <c r="AX896" s="137"/>
      <c r="AY896" s="138"/>
      <c r="AZ896" s="220">
        <f t="shared" si="52"/>
        <v>0</v>
      </c>
      <c r="BA896" s="220">
        <f t="shared" si="53"/>
        <v>0</v>
      </c>
    </row>
    <row r="897" spans="1:53" ht="50.1" customHeight="1" x14ac:dyDescent="0.25">
      <c r="A897" s="17">
        <f t="shared" si="54"/>
        <v>883</v>
      </c>
      <c r="B897" s="228"/>
      <c r="C897" s="221"/>
      <c r="D897" s="88"/>
      <c r="E897" s="100"/>
      <c r="F897" s="95"/>
      <c r="G897" s="114"/>
      <c r="H897" s="96"/>
      <c r="I897" s="97"/>
      <c r="J897" s="98"/>
      <c r="K897" s="101"/>
      <c r="L897" s="124"/>
      <c r="M897" s="333"/>
      <c r="N897" s="341"/>
      <c r="O897" s="82"/>
      <c r="P897" s="93"/>
      <c r="Q897" s="82"/>
      <c r="R897" s="93"/>
      <c r="S897" s="298"/>
      <c r="T897" s="304"/>
      <c r="U897" s="307"/>
      <c r="V897" s="309"/>
      <c r="W897" s="248"/>
      <c r="X897" s="342"/>
      <c r="Y897" s="336"/>
      <c r="Z897" s="123"/>
      <c r="AA897" s="33"/>
      <c r="AB897" s="123"/>
      <c r="AC897" s="33"/>
      <c r="AD897" s="123"/>
      <c r="AE897" s="33"/>
      <c r="AF897" s="123"/>
      <c r="AG897" s="243"/>
      <c r="AH897" s="33"/>
      <c r="AI897" s="245"/>
      <c r="AJ897" s="125"/>
      <c r="AK897" s="91"/>
      <c r="AL897" s="126"/>
      <c r="AM897" s="91"/>
      <c r="AN897" s="91"/>
      <c r="AO897" s="197">
        <f t="shared" si="55"/>
        <v>0</v>
      </c>
      <c r="AP897" s="126"/>
      <c r="AQ897" s="216"/>
      <c r="AR897" s="127"/>
      <c r="AS897" s="269"/>
      <c r="AT897" s="94"/>
      <c r="AU897" s="84"/>
      <c r="AV897" s="80"/>
      <c r="AW897" s="81"/>
      <c r="AX897" s="77"/>
      <c r="AY897" s="107"/>
      <c r="AZ897" s="220">
        <f t="shared" si="52"/>
        <v>0</v>
      </c>
      <c r="BA897" s="220">
        <f t="shared" si="53"/>
        <v>0</v>
      </c>
    </row>
    <row r="898" spans="1:53" ht="50.1" customHeight="1" x14ac:dyDescent="0.25">
      <c r="A898" s="17">
        <f t="shared" si="54"/>
        <v>884</v>
      </c>
      <c r="B898" s="229"/>
      <c r="C898" s="222"/>
      <c r="D898" s="112"/>
      <c r="E898" s="128"/>
      <c r="F898" s="129"/>
      <c r="G898" s="130"/>
      <c r="H898" s="131"/>
      <c r="I898" s="132"/>
      <c r="J898" s="108"/>
      <c r="K898" s="133"/>
      <c r="L898" s="134"/>
      <c r="M898" s="334"/>
      <c r="N898" s="343"/>
      <c r="O898" s="135"/>
      <c r="P898" s="82"/>
      <c r="Q898" s="135"/>
      <c r="R898" s="82"/>
      <c r="S898" s="299"/>
      <c r="T898" s="305"/>
      <c r="U898" s="298"/>
      <c r="V898" s="304"/>
      <c r="W898" s="249"/>
      <c r="X898" s="344"/>
      <c r="Y898" s="337"/>
      <c r="Z898" s="33"/>
      <c r="AA898" s="83"/>
      <c r="AB898" s="33"/>
      <c r="AC898" s="83"/>
      <c r="AD898" s="33"/>
      <c r="AE898" s="83"/>
      <c r="AF898" s="33"/>
      <c r="AG898" s="244"/>
      <c r="AH898" s="83"/>
      <c r="AI898" s="246"/>
      <c r="AJ898" s="102"/>
      <c r="AK898" s="92"/>
      <c r="AL898" s="91"/>
      <c r="AM898" s="92"/>
      <c r="AN898" s="351"/>
      <c r="AO898" s="197">
        <f t="shared" si="55"/>
        <v>0</v>
      </c>
      <c r="AP898" s="91"/>
      <c r="AQ898" s="217"/>
      <c r="AR898" s="103"/>
      <c r="AS898" s="264"/>
      <c r="AT898" s="94"/>
      <c r="AU898" s="84"/>
      <c r="AV898" s="136"/>
      <c r="AW898" s="77"/>
      <c r="AX898" s="137"/>
      <c r="AY898" s="138"/>
      <c r="AZ898" s="220">
        <f t="shared" si="52"/>
        <v>0</v>
      </c>
      <c r="BA898" s="220">
        <f t="shared" si="53"/>
        <v>0</v>
      </c>
    </row>
    <row r="899" spans="1:53" ht="50.1" customHeight="1" x14ac:dyDescent="0.25">
      <c r="A899" s="17">
        <f t="shared" si="54"/>
        <v>885</v>
      </c>
      <c r="B899" s="228"/>
      <c r="C899" s="221"/>
      <c r="D899" s="88"/>
      <c r="E899" s="100"/>
      <c r="F899" s="95"/>
      <c r="G899" s="114"/>
      <c r="H899" s="96"/>
      <c r="I899" s="97"/>
      <c r="J899" s="98"/>
      <c r="K899" s="101"/>
      <c r="L899" s="124"/>
      <c r="M899" s="333"/>
      <c r="N899" s="341"/>
      <c r="O899" s="82"/>
      <c r="P899" s="93"/>
      <c r="Q899" s="82"/>
      <c r="R899" s="93"/>
      <c r="S899" s="298"/>
      <c r="T899" s="304"/>
      <c r="U899" s="307"/>
      <c r="V899" s="309"/>
      <c r="W899" s="248"/>
      <c r="X899" s="342"/>
      <c r="Y899" s="336"/>
      <c r="Z899" s="123"/>
      <c r="AA899" s="33"/>
      <c r="AB899" s="123"/>
      <c r="AC899" s="33"/>
      <c r="AD899" s="123"/>
      <c r="AE899" s="33"/>
      <c r="AF899" s="123"/>
      <c r="AG899" s="243"/>
      <c r="AH899" s="33"/>
      <c r="AI899" s="245"/>
      <c r="AJ899" s="125"/>
      <c r="AK899" s="91"/>
      <c r="AL899" s="126"/>
      <c r="AM899" s="91"/>
      <c r="AN899" s="91"/>
      <c r="AO899" s="197">
        <f t="shared" si="55"/>
        <v>0</v>
      </c>
      <c r="AP899" s="126"/>
      <c r="AQ899" s="216"/>
      <c r="AR899" s="127"/>
      <c r="AS899" s="269"/>
      <c r="AT899" s="94"/>
      <c r="AU899" s="84"/>
      <c r="AV899" s="80"/>
      <c r="AW899" s="81"/>
      <c r="AX899" s="77"/>
      <c r="AY899" s="107"/>
      <c r="AZ899" s="220">
        <f t="shared" si="52"/>
        <v>0</v>
      </c>
      <c r="BA899" s="220">
        <f t="shared" si="53"/>
        <v>0</v>
      </c>
    </row>
    <row r="900" spans="1:53" ht="50.1" customHeight="1" x14ac:dyDescent="0.25">
      <c r="A900" s="17">
        <f t="shared" si="54"/>
        <v>886</v>
      </c>
      <c r="B900" s="229"/>
      <c r="C900" s="222"/>
      <c r="D900" s="112"/>
      <c r="E900" s="128"/>
      <c r="F900" s="129"/>
      <c r="G900" s="130"/>
      <c r="H900" s="131"/>
      <c r="I900" s="132"/>
      <c r="J900" s="108"/>
      <c r="K900" s="133"/>
      <c r="L900" s="134"/>
      <c r="M900" s="334"/>
      <c r="N900" s="343"/>
      <c r="O900" s="135"/>
      <c r="P900" s="82"/>
      <c r="Q900" s="135"/>
      <c r="R900" s="82"/>
      <c r="S900" s="299"/>
      <c r="T900" s="305"/>
      <c r="U900" s="298"/>
      <c r="V900" s="304"/>
      <c r="W900" s="249"/>
      <c r="X900" s="344"/>
      <c r="Y900" s="337"/>
      <c r="Z900" s="33"/>
      <c r="AA900" s="83"/>
      <c r="AB900" s="33"/>
      <c r="AC900" s="83"/>
      <c r="AD900" s="33"/>
      <c r="AE900" s="83"/>
      <c r="AF900" s="33"/>
      <c r="AG900" s="244"/>
      <c r="AH900" s="83"/>
      <c r="AI900" s="246"/>
      <c r="AJ900" s="102"/>
      <c r="AK900" s="92"/>
      <c r="AL900" s="91"/>
      <c r="AM900" s="92"/>
      <c r="AN900" s="351"/>
      <c r="AO900" s="197">
        <f t="shared" si="55"/>
        <v>0</v>
      </c>
      <c r="AP900" s="91"/>
      <c r="AQ900" s="217"/>
      <c r="AR900" s="103"/>
      <c r="AS900" s="264"/>
      <c r="AT900" s="94"/>
      <c r="AU900" s="84"/>
      <c r="AV900" s="136"/>
      <c r="AW900" s="77"/>
      <c r="AX900" s="137"/>
      <c r="AY900" s="138"/>
      <c r="AZ900" s="220">
        <f t="shared" si="52"/>
        <v>0</v>
      </c>
      <c r="BA900" s="220">
        <f t="shared" si="53"/>
        <v>0</v>
      </c>
    </row>
    <row r="901" spans="1:53" ht="50.1" customHeight="1" x14ac:dyDescent="0.25">
      <c r="A901" s="17">
        <f t="shared" si="54"/>
        <v>887</v>
      </c>
      <c r="B901" s="228"/>
      <c r="C901" s="221"/>
      <c r="D901" s="88"/>
      <c r="E901" s="100"/>
      <c r="F901" s="95"/>
      <c r="G901" s="114"/>
      <c r="H901" s="96"/>
      <c r="I901" s="97"/>
      <c r="J901" s="98"/>
      <c r="K901" s="101"/>
      <c r="L901" s="124"/>
      <c r="M901" s="333"/>
      <c r="N901" s="341"/>
      <c r="O901" s="82"/>
      <c r="P901" s="93"/>
      <c r="Q901" s="82"/>
      <c r="R901" s="93"/>
      <c r="S901" s="298"/>
      <c r="T901" s="304"/>
      <c r="U901" s="307"/>
      <c r="V901" s="309"/>
      <c r="W901" s="248"/>
      <c r="X901" s="342"/>
      <c r="Y901" s="336"/>
      <c r="Z901" s="123"/>
      <c r="AA901" s="33"/>
      <c r="AB901" s="123"/>
      <c r="AC901" s="33"/>
      <c r="AD901" s="123"/>
      <c r="AE901" s="33"/>
      <c r="AF901" s="123"/>
      <c r="AG901" s="243"/>
      <c r="AH901" s="33"/>
      <c r="AI901" s="245"/>
      <c r="AJ901" s="125"/>
      <c r="AK901" s="91"/>
      <c r="AL901" s="126"/>
      <c r="AM901" s="91"/>
      <c r="AN901" s="91"/>
      <c r="AO901" s="197">
        <f t="shared" si="55"/>
        <v>0</v>
      </c>
      <c r="AP901" s="126"/>
      <c r="AQ901" s="216"/>
      <c r="AR901" s="127"/>
      <c r="AS901" s="269"/>
      <c r="AT901" s="94"/>
      <c r="AU901" s="84"/>
      <c r="AV901" s="80"/>
      <c r="AW901" s="81"/>
      <c r="AX901" s="77"/>
      <c r="AY901" s="107"/>
      <c r="AZ901" s="220">
        <f t="shared" si="52"/>
        <v>0</v>
      </c>
      <c r="BA901" s="220">
        <f t="shared" si="53"/>
        <v>0</v>
      </c>
    </row>
    <row r="902" spans="1:53" ht="50.1" customHeight="1" x14ac:dyDescent="0.25">
      <c r="A902" s="17">
        <f t="shared" si="54"/>
        <v>888</v>
      </c>
      <c r="B902" s="229"/>
      <c r="C902" s="222"/>
      <c r="D902" s="112"/>
      <c r="E902" s="128"/>
      <c r="F902" s="129"/>
      <c r="G902" s="130"/>
      <c r="H902" s="131"/>
      <c r="I902" s="132"/>
      <c r="J902" s="108"/>
      <c r="K902" s="133"/>
      <c r="L902" s="134"/>
      <c r="M902" s="334"/>
      <c r="N902" s="343"/>
      <c r="O902" s="135"/>
      <c r="P902" s="82"/>
      <c r="Q902" s="135"/>
      <c r="R902" s="82"/>
      <c r="S902" s="299"/>
      <c r="T902" s="305"/>
      <c r="U902" s="298"/>
      <c r="V902" s="304"/>
      <c r="W902" s="249"/>
      <c r="X902" s="344"/>
      <c r="Y902" s="337"/>
      <c r="Z902" s="33"/>
      <c r="AA902" s="83"/>
      <c r="AB902" s="33"/>
      <c r="AC902" s="83"/>
      <c r="AD902" s="33"/>
      <c r="AE902" s="83"/>
      <c r="AF902" s="33"/>
      <c r="AG902" s="244"/>
      <c r="AH902" s="83"/>
      <c r="AI902" s="246"/>
      <c r="AJ902" s="102"/>
      <c r="AK902" s="92"/>
      <c r="AL902" s="91"/>
      <c r="AM902" s="92"/>
      <c r="AN902" s="351"/>
      <c r="AO902" s="197">
        <f t="shared" si="55"/>
        <v>0</v>
      </c>
      <c r="AP902" s="91"/>
      <c r="AQ902" s="217"/>
      <c r="AR902" s="103"/>
      <c r="AS902" s="264"/>
      <c r="AT902" s="94"/>
      <c r="AU902" s="84"/>
      <c r="AV902" s="136"/>
      <c r="AW902" s="77"/>
      <c r="AX902" s="137"/>
      <c r="AY902" s="138"/>
      <c r="AZ902" s="220">
        <f t="shared" si="52"/>
        <v>0</v>
      </c>
      <c r="BA902" s="220">
        <f t="shared" si="53"/>
        <v>0</v>
      </c>
    </row>
    <row r="903" spans="1:53" ht="50.1" customHeight="1" x14ac:dyDescent="0.25">
      <c r="A903" s="17">
        <f t="shared" si="54"/>
        <v>889</v>
      </c>
      <c r="B903" s="228"/>
      <c r="C903" s="221"/>
      <c r="D903" s="88"/>
      <c r="E903" s="100"/>
      <c r="F903" s="95"/>
      <c r="G903" s="114"/>
      <c r="H903" s="96"/>
      <c r="I903" s="97"/>
      <c r="J903" s="98"/>
      <c r="K903" s="101"/>
      <c r="L903" s="124"/>
      <c r="M903" s="333"/>
      <c r="N903" s="341"/>
      <c r="O903" s="82"/>
      <c r="P903" s="93"/>
      <c r="Q903" s="82"/>
      <c r="R903" s="93"/>
      <c r="S903" s="298"/>
      <c r="T903" s="304"/>
      <c r="U903" s="307"/>
      <c r="V903" s="309"/>
      <c r="W903" s="248"/>
      <c r="X903" s="342"/>
      <c r="Y903" s="336"/>
      <c r="Z903" s="123"/>
      <c r="AA903" s="33"/>
      <c r="AB903" s="123"/>
      <c r="AC903" s="33"/>
      <c r="AD903" s="123"/>
      <c r="AE903" s="33"/>
      <c r="AF903" s="123"/>
      <c r="AG903" s="243"/>
      <c r="AH903" s="33"/>
      <c r="AI903" s="245"/>
      <c r="AJ903" s="125"/>
      <c r="AK903" s="91"/>
      <c r="AL903" s="126"/>
      <c r="AM903" s="91"/>
      <c r="AN903" s="91"/>
      <c r="AO903" s="197">
        <f t="shared" si="55"/>
        <v>0</v>
      </c>
      <c r="AP903" s="126"/>
      <c r="AQ903" s="216"/>
      <c r="AR903" s="127"/>
      <c r="AS903" s="269"/>
      <c r="AT903" s="94"/>
      <c r="AU903" s="84"/>
      <c r="AV903" s="80"/>
      <c r="AW903" s="81"/>
      <c r="AX903" s="77"/>
      <c r="AY903" s="107"/>
      <c r="AZ903" s="220">
        <f t="shared" si="52"/>
        <v>0</v>
      </c>
      <c r="BA903" s="220">
        <f t="shared" si="53"/>
        <v>0</v>
      </c>
    </row>
    <row r="904" spans="1:53" ht="50.1" customHeight="1" x14ac:dyDescent="0.25">
      <c r="A904" s="17">
        <f t="shared" si="54"/>
        <v>890</v>
      </c>
      <c r="B904" s="229"/>
      <c r="C904" s="222"/>
      <c r="D904" s="112"/>
      <c r="E904" s="128"/>
      <c r="F904" s="129"/>
      <c r="G904" s="130"/>
      <c r="H904" s="131"/>
      <c r="I904" s="132"/>
      <c r="J904" s="108"/>
      <c r="K904" s="133"/>
      <c r="L904" s="134"/>
      <c r="M904" s="334"/>
      <c r="N904" s="343"/>
      <c r="O904" s="135"/>
      <c r="P904" s="82"/>
      <c r="Q904" s="135"/>
      <c r="R904" s="82"/>
      <c r="S904" s="299"/>
      <c r="T904" s="305"/>
      <c r="U904" s="298"/>
      <c r="V904" s="304"/>
      <c r="W904" s="249"/>
      <c r="X904" s="344"/>
      <c r="Y904" s="337"/>
      <c r="Z904" s="33"/>
      <c r="AA904" s="83"/>
      <c r="AB904" s="33"/>
      <c r="AC904" s="83"/>
      <c r="AD904" s="33"/>
      <c r="AE904" s="83"/>
      <c r="AF904" s="33"/>
      <c r="AG904" s="244"/>
      <c r="AH904" s="83"/>
      <c r="AI904" s="246"/>
      <c r="AJ904" s="102"/>
      <c r="AK904" s="92"/>
      <c r="AL904" s="91"/>
      <c r="AM904" s="92"/>
      <c r="AN904" s="351"/>
      <c r="AO904" s="197">
        <f t="shared" si="55"/>
        <v>0</v>
      </c>
      <c r="AP904" s="91"/>
      <c r="AQ904" s="217"/>
      <c r="AR904" s="103"/>
      <c r="AS904" s="264"/>
      <c r="AT904" s="94"/>
      <c r="AU904" s="84"/>
      <c r="AV904" s="136"/>
      <c r="AW904" s="77"/>
      <c r="AX904" s="137"/>
      <c r="AY904" s="138"/>
      <c r="AZ904" s="220">
        <f t="shared" si="52"/>
        <v>0</v>
      </c>
      <c r="BA904" s="220">
        <f t="shared" si="53"/>
        <v>0</v>
      </c>
    </row>
    <row r="905" spans="1:53" ht="50.1" customHeight="1" x14ac:dyDescent="0.25">
      <c r="A905" s="17">
        <f t="shared" si="54"/>
        <v>891</v>
      </c>
      <c r="B905" s="228"/>
      <c r="C905" s="221"/>
      <c r="D905" s="88"/>
      <c r="E905" s="100"/>
      <c r="F905" s="95"/>
      <c r="G905" s="114"/>
      <c r="H905" s="96"/>
      <c r="I905" s="97"/>
      <c r="J905" s="98"/>
      <c r="K905" s="101"/>
      <c r="L905" s="124"/>
      <c r="M905" s="333"/>
      <c r="N905" s="346"/>
      <c r="O905" s="82"/>
      <c r="P905" s="93"/>
      <c r="Q905" s="82"/>
      <c r="R905" s="93"/>
      <c r="S905" s="298"/>
      <c r="T905" s="304"/>
      <c r="U905" s="307"/>
      <c r="V905" s="309"/>
      <c r="W905" s="248"/>
      <c r="X905" s="342"/>
      <c r="Y905" s="336"/>
      <c r="Z905" s="123"/>
      <c r="AA905" s="33"/>
      <c r="AB905" s="123"/>
      <c r="AC905" s="33"/>
      <c r="AD905" s="123"/>
      <c r="AE905" s="33"/>
      <c r="AF905" s="123"/>
      <c r="AG905" s="243"/>
      <c r="AH905" s="33"/>
      <c r="AI905" s="245"/>
      <c r="AJ905" s="125"/>
      <c r="AK905" s="91"/>
      <c r="AL905" s="126"/>
      <c r="AM905" s="91"/>
      <c r="AN905" s="91"/>
      <c r="AO905" s="197">
        <f t="shared" si="55"/>
        <v>0</v>
      </c>
      <c r="AP905" s="126"/>
      <c r="AQ905" s="216"/>
      <c r="AR905" s="127"/>
      <c r="AS905" s="269"/>
      <c r="AT905" s="94"/>
      <c r="AU905" s="84"/>
      <c r="AV905" s="80"/>
      <c r="AW905" s="81"/>
      <c r="AX905" s="77"/>
      <c r="AY905" s="107"/>
      <c r="AZ905" s="220">
        <f t="shared" si="52"/>
        <v>0</v>
      </c>
      <c r="BA905" s="220">
        <f t="shared" si="53"/>
        <v>0</v>
      </c>
    </row>
    <row r="906" spans="1:53" ht="50.1" customHeight="1" x14ac:dyDescent="0.25">
      <c r="A906" s="17">
        <f t="shared" si="54"/>
        <v>892</v>
      </c>
      <c r="B906" s="229"/>
      <c r="C906" s="222"/>
      <c r="D906" s="112"/>
      <c r="E906" s="128"/>
      <c r="F906" s="129"/>
      <c r="G906" s="130"/>
      <c r="H906" s="131"/>
      <c r="I906" s="132"/>
      <c r="J906" s="108"/>
      <c r="K906" s="133"/>
      <c r="L906" s="134"/>
      <c r="M906" s="334"/>
      <c r="N906" s="343"/>
      <c r="O906" s="135"/>
      <c r="P906" s="82"/>
      <c r="Q906" s="135"/>
      <c r="R906" s="82"/>
      <c r="S906" s="299"/>
      <c r="T906" s="305"/>
      <c r="U906" s="298"/>
      <c r="V906" s="304"/>
      <c r="W906" s="249"/>
      <c r="X906" s="344"/>
      <c r="Y906" s="337"/>
      <c r="Z906" s="33"/>
      <c r="AA906" s="83"/>
      <c r="AB906" s="33"/>
      <c r="AC906" s="83"/>
      <c r="AD906" s="33"/>
      <c r="AE906" s="83"/>
      <c r="AF906" s="33"/>
      <c r="AG906" s="244"/>
      <c r="AH906" s="83"/>
      <c r="AI906" s="246"/>
      <c r="AJ906" s="102"/>
      <c r="AK906" s="92"/>
      <c r="AL906" s="91"/>
      <c r="AM906" s="92"/>
      <c r="AN906" s="351"/>
      <c r="AO906" s="197">
        <f t="shared" si="55"/>
        <v>0</v>
      </c>
      <c r="AP906" s="91"/>
      <c r="AQ906" s="217"/>
      <c r="AR906" s="103"/>
      <c r="AS906" s="264"/>
      <c r="AT906" s="94"/>
      <c r="AU906" s="84"/>
      <c r="AV906" s="136"/>
      <c r="AW906" s="77"/>
      <c r="AX906" s="137"/>
      <c r="AY906" s="138"/>
      <c r="AZ906" s="220">
        <f t="shared" si="52"/>
        <v>0</v>
      </c>
      <c r="BA906" s="220">
        <f t="shared" si="53"/>
        <v>0</v>
      </c>
    </row>
    <row r="907" spans="1:53" ht="50.1" customHeight="1" x14ac:dyDescent="0.25">
      <c r="A907" s="17">
        <f t="shared" si="54"/>
        <v>893</v>
      </c>
      <c r="B907" s="228"/>
      <c r="C907" s="221"/>
      <c r="D907" s="88"/>
      <c r="E907" s="100"/>
      <c r="F907" s="95"/>
      <c r="G907" s="114"/>
      <c r="H907" s="96"/>
      <c r="I907" s="97"/>
      <c r="J907" s="98"/>
      <c r="K907" s="101"/>
      <c r="L907" s="124"/>
      <c r="M907" s="333"/>
      <c r="N907" s="341"/>
      <c r="O907" s="82"/>
      <c r="P907" s="93"/>
      <c r="Q907" s="82"/>
      <c r="R907" s="93"/>
      <c r="S907" s="298"/>
      <c r="T907" s="304"/>
      <c r="U907" s="307"/>
      <c r="V907" s="309"/>
      <c r="W907" s="248"/>
      <c r="X907" s="342"/>
      <c r="Y907" s="336"/>
      <c r="Z907" s="123"/>
      <c r="AA907" s="33"/>
      <c r="AB907" s="123"/>
      <c r="AC907" s="33"/>
      <c r="AD907" s="123"/>
      <c r="AE907" s="33"/>
      <c r="AF907" s="123"/>
      <c r="AG907" s="243"/>
      <c r="AH907" s="33"/>
      <c r="AI907" s="245"/>
      <c r="AJ907" s="125"/>
      <c r="AK907" s="91"/>
      <c r="AL907" s="126"/>
      <c r="AM907" s="91"/>
      <c r="AN907" s="91"/>
      <c r="AO907" s="197">
        <f t="shared" si="55"/>
        <v>0</v>
      </c>
      <c r="AP907" s="126"/>
      <c r="AQ907" s="216"/>
      <c r="AR907" s="127"/>
      <c r="AS907" s="269"/>
      <c r="AT907" s="94"/>
      <c r="AU907" s="84"/>
      <c r="AV907" s="80"/>
      <c r="AW907" s="81"/>
      <c r="AX907" s="77"/>
      <c r="AY907" s="107"/>
      <c r="AZ907" s="220">
        <f t="shared" si="52"/>
        <v>0</v>
      </c>
      <c r="BA907" s="220">
        <f t="shared" si="53"/>
        <v>0</v>
      </c>
    </row>
    <row r="908" spans="1:53" ht="50.1" customHeight="1" x14ac:dyDescent="0.25">
      <c r="A908" s="17">
        <f t="shared" si="54"/>
        <v>894</v>
      </c>
      <c r="B908" s="229"/>
      <c r="C908" s="222"/>
      <c r="D908" s="112"/>
      <c r="E908" s="128"/>
      <c r="F908" s="129"/>
      <c r="G908" s="130"/>
      <c r="H908" s="131"/>
      <c r="I908" s="132"/>
      <c r="J908" s="108"/>
      <c r="K908" s="133"/>
      <c r="L908" s="134"/>
      <c r="M908" s="334"/>
      <c r="N908" s="343"/>
      <c r="O908" s="135"/>
      <c r="P908" s="82"/>
      <c r="Q908" s="135"/>
      <c r="R908" s="82"/>
      <c r="S908" s="299"/>
      <c r="T908" s="305"/>
      <c r="U908" s="298"/>
      <c r="V908" s="304"/>
      <c r="W908" s="249"/>
      <c r="X908" s="344"/>
      <c r="Y908" s="337"/>
      <c r="Z908" s="33"/>
      <c r="AA908" s="83"/>
      <c r="AB908" s="33"/>
      <c r="AC908" s="83"/>
      <c r="AD908" s="33"/>
      <c r="AE908" s="83"/>
      <c r="AF908" s="33"/>
      <c r="AG908" s="244"/>
      <c r="AH908" s="83"/>
      <c r="AI908" s="246"/>
      <c r="AJ908" s="102"/>
      <c r="AK908" s="92"/>
      <c r="AL908" s="91"/>
      <c r="AM908" s="92"/>
      <c r="AN908" s="351"/>
      <c r="AO908" s="197">
        <f t="shared" si="55"/>
        <v>0</v>
      </c>
      <c r="AP908" s="91"/>
      <c r="AQ908" s="217"/>
      <c r="AR908" s="103"/>
      <c r="AS908" s="264"/>
      <c r="AT908" s="94"/>
      <c r="AU908" s="84"/>
      <c r="AV908" s="136"/>
      <c r="AW908" s="77"/>
      <c r="AX908" s="137"/>
      <c r="AY908" s="138"/>
      <c r="AZ908" s="220">
        <f t="shared" si="52"/>
        <v>0</v>
      </c>
      <c r="BA908" s="220">
        <f t="shared" si="53"/>
        <v>0</v>
      </c>
    </row>
    <row r="909" spans="1:53" ht="50.1" customHeight="1" x14ac:dyDescent="0.25">
      <c r="A909" s="17">
        <f t="shared" si="54"/>
        <v>895</v>
      </c>
      <c r="B909" s="228"/>
      <c r="C909" s="221"/>
      <c r="D909" s="88"/>
      <c r="E909" s="100"/>
      <c r="F909" s="95"/>
      <c r="G909" s="114"/>
      <c r="H909" s="96"/>
      <c r="I909" s="97"/>
      <c r="J909" s="98"/>
      <c r="K909" s="101"/>
      <c r="L909" s="124"/>
      <c r="M909" s="333"/>
      <c r="N909" s="341"/>
      <c r="O909" s="82"/>
      <c r="P909" s="93"/>
      <c r="Q909" s="82"/>
      <c r="R909" s="93"/>
      <c r="S909" s="298"/>
      <c r="T909" s="304"/>
      <c r="U909" s="307"/>
      <c r="V909" s="309"/>
      <c r="W909" s="248"/>
      <c r="X909" s="342"/>
      <c r="Y909" s="336"/>
      <c r="Z909" s="123"/>
      <c r="AA909" s="33"/>
      <c r="AB909" s="123"/>
      <c r="AC909" s="33"/>
      <c r="AD909" s="123"/>
      <c r="AE909" s="33"/>
      <c r="AF909" s="123"/>
      <c r="AG909" s="243"/>
      <c r="AH909" s="33"/>
      <c r="AI909" s="245"/>
      <c r="AJ909" s="125"/>
      <c r="AK909" s="91"/>
      <c r="AL909" s="126"/>
      <c r="AM909" s="91"/>
      <c r="AN909" s="91"/>
      <c r="AO909" s="197">
        <f t="shared" si="55"/>
        <v>0</v>
      </c>
      <c r="AP909" s="126"/>
      <c r="AQ909" s="216"/>
      <c r="AR909" s="127"/>
      <c r="AS909" s="269"/>
      <c r="AT909" s="94"/>
      <c r="AU909" s="84"/>
      <c r="AV909" s="80"/>
      <c r="AW909" s="81"/>
      <c r="AX909" s="77"/>
      <c r="AY909" s="107"/>
      <c r="AZ909" s="220">
        <f t="shared" si="52"/>
        <v>0</v>
      </c>
      <c r="BA909" s="220">
        <f t="shared" si="53"/>
        <v>0</v>
      </c>
    </row>
    <row r="910" spans="1:53" ht="50.1" customHeight="1" x14ac:dyDescent="0.25">
      <c r="A910" s="17">
        <f t="shared" si="54"/>
        <v>896</v>
      </c>
      <c r="B910" s="229"/>
      <c r="C910" s="222"/>
      <c r="D910" s="112"/>
      <c r="E910" s="128"/>
      <c r="F910" s="129"/>
      <c r="G910" s="130"/>
      <c r="H910" s="131"/>
      <c r="I910" s="132"/>
      <c r="J910" s="108"/>
      <c r="K910" s="133"/>
      <c r="L910" s="134"/>
      <c r="M910" s="334"/>
      <c r="N910" s="343"/>
      <c r="O910" s="135"/>
      <c r="P910" s="82"/>
      <c r="Q910" s="135"/>
      <c r="R910" s="82"/>
      <c r="S910" s="299"/>
      <c r="T910" s="305"/>
      <c r="U910" s="298"/>
      <c r="V910" s="304"/>
      <c r="W910" s="249"/>
      <c r="X910" s="344"/>
      <c r="Y910" s="337"/>
      <c r="Z910" s="33"/>
      <c r="AA910" s="83"/>
      <c r="AB910" s="33"/>
      <c r="AC910" s="83"/>
      <c r="AD910" s="33"/>
      <c r="AE910" s="83"/>
      <c r="AF910" s="33"/>
      <c r="AG910" s="244"/>
      <c r="AH910" s="83"/>
      <c r="AI910" s="246"/>
      <c r="AJ910" s="102"/>
      <c r="AK910" s="92"/>
      <c r="AL910" s="91"/>
      <c r="AM910" s="92"/>
      <c r="AN910" s="351"/>
      <c r="AO910" s="197">
        <f t="shared" si="55"/>
        <v>0</v>
      </c>
      <c r="AP910" s="91"/>
      <c r="AQ910" s="217"/>
      <c r="AR910" s="103"/>
      <c r="AS910" s="264"/>
      <c r="AT910" s="94"/>
      <c r="AU910" s="84"/>
      <c r="AV910" s="136"/>
      <c r="AW910" s="77"/>
      <c r="AX910" s="137"/>
      <c r="AY910" s="138"/>
      <c r="AZ910" s="220">
        <f t="shared" si="52"/>
        <v>0</v>
      </c>
      <c r="BA910" s="220">
        <f t="shared" si="53"/>
        <v>0</v>
      </c>
    </row>
    <row r="911" spans="1:53" ht="50.1" customHeight="1" x14ac:dyDescent="0.25">
      <c r="A911" s="17">
        <f t="shared" si="54"/>
        <v>897</v>
      </c>
      <c r="B911" s="228"/>
      <c r="C911" s="221"/>
      <c r="D911" s="88"/>
      <c r="E911" s="100"/>
      <c r="F911" s="95"/>
      <c r="G911" s="114"/>
      <c r="H911" s="96"/>
      <c r="I911" s="97"/>
      <c r="J911" s="98"/>
      <c r="K911" s="101"/>
      <c r="L911" s="124"/>
      <c r="M911" s="333"/>
      <c r="N911" s="341"/>
      <c r="O911" s="82"/>
      <c r="P911" s="93"/>
      <c r="Q911" s="82"/>
      <c r="R911" s="93"/>
      <c r="S911" s="298"/>
      <c r="T911" s="304"/>
      <c r="U911" s="307"/>
      <c r="V911" s="309"/>
      <c r="W911" s="248"/>
      <c r="X911" s="342"/>
      <c r="Y911" s="336"/>
      <c r="Z911" s="123"/>
      <c r="AA911" s="33"/>
      <c r="AB911" s="123"/>
      <c r="AC911" s="33"/>
      <c r="AD911" s="123"/>
      <c r="AE911" s="33"/>
      <c r="AF911" s="123"/>
      <c r="AG911" s="243"/>
      <c r="AH911" s="33"/>
      <c r="AI911" s="245"/>
      <c r="AJ911" s="125"/>
      <c r="AK911" s="91"/>
      <c r="AL911" s="126"/>
      <c r="AM911" s="91"/>
      <c r="AN911" s="91"/>
      <c r="AO911" s="197">
        <f t="shared" si="55"/>
        <v>0</v>
      </c>
      <c r="AP911" s="126"/>
      <c r="AQ911" s="216"/>
      <c r="AR911" s="127"/>
      <c r="AS911" s="269"/>
      <c r="AT911" s="94"/>
      <c r="AU911" s="84"/>
      <c r="AV911" s="80"/>
      <c r="AW911" s="81"/>
      <c r="AX911" s="77"/>
      <c r="AY911" s="107"/>
      <c r="AZ911" s="220">
        <f t="shared" ref="AZ911:AZ974" si="56">M911-B911</f>
        <v>0</v>
      </c>
      <c r="BA911" s="220">
        <f t="shared" ref="BA911:BA974" si="57">AU911-M911</f>
        <v>0</v>
      </c>
    </row>
    <row r="912" spans="1:53" ht="50.1" customHeight="1" x14ac:dyDescent="0.25">
      <c r="A912" s="17">
        <f t="shared" ref="A912:A975" si="58">ROW(A898)</f>
        <v>898</v>
      </c>
      <c r="B912" s="229"/>
      <c r="C912" s="222"/>
      <c r="D912" s="112"/>
      <c r="E912" s="128"/>
      <c r="F912" s="129"/>
      <c r="G912" s="130"/>
      <c r="H912" s="131"/>
      <c r="I912" s="132"/>
      <c r="J912" s="108"/>
      <c r="K912" s="133"/>
      <c r="L912" s="134"/>
      <c r="M912" s="334"/>
      <c r="N912" s="343"/>
      <c r="O912" s="135"/>
      <c r="P912" s="82"/>
      <c r="Q912" s="135"/>
      <c r="R912" s="82"/>
      <c r="S912" s="299"/>
      <c r="T912" s="305"/>
      <c r="U912" s="298"/>
      <c r="V912" s="304"/>
      <c r="W912" s="249"/>
      <c r="X912" s="344"/>
      <c r="Y912" s="337"/>
      <c r="Z912" s="33"/>
      <c r="AA912" s="83"/>
      <c r="AB912" s="33"/>
      <c r="AC912" s="83"/>
      <c r="AD912" s="33"/>
      <c r="AE912" s="83"/>
      <c r="AF912" s="33"/>
      <c r="AG912" s="244"/>
      <c r="AH912" s="83"/>
      <c r="AI912" s="246"/>
      <c r="AJ912" s="102"/>
      <c r="AK912" s="92"/>
      <c r="AL912" s="91"/>
      <c r="AM912" s="92"/>
      <c r="AN912" s="351"/>
      <c r="AO912" s="197">
        <f t="shared" ref="AO912:AO975" si="59">AJ912-AK912-AL912-AM912-AN912</f>
        <v>0</v>
      </c>
      <c r="AP912" s="91"/>
      <c r="AQ912" s="217"/>
      <c r="AR912" s="103"/>
      <c r="AS912" s="264"/>
      <c r="AT912" s="94"/>
      <c r="AU912" s="84"/>
      <c r="AV912" s="136"/>
      <c r="AW912" s="77"/>
      <c r="AX912" s="137"/>
      <c r="AY912" s="138"/>
      <c r="AZ912" s="220">
        <f t="shared" si="56"/>
        <v>0</v>
      </c>
      <c r="BA912" s="220">
        <f t="shared" si="57"/>
        <v>0</v>
      </c>
    </row>
    <row r="913" spans="1:53" ht="50.1" customHeight="1" x14ac:dyDescent="0.25">
      <c r="A913" s="17">
        <f t="shared" si="58"/>
        <v>899</v>
      </c>
      <c r="B913" s="228"/>
      <c r="C913" s="221"/>
      <c r="D913" s="88"/>
      <c r="E913" s="100"/>
      <c r="F913" s="95"/>
      <c r="G913" s="114"/>
      <c r="H913" s="96"/>
      <c r="I913" s="97"/>
      <c r="J913" s="98"/>
      <c r="K913" s="101"/>
      <c r="L913" s="124"/>
      <c r="M913" s="333"/>
      <c r="N913" s="341"/>
      <c r="O913" s="82"/>
      <c r="P913" s="93"/>
      <c r="Q913" s="82"/>
      <c r="R913" s="93"/>
      <c r="S913" s="298"/>
      <c r="T913" s="304"/>
      <c r="U913" s="307"/>
      <c r="V913" s="309"/>
      <c r="W913" s="248"/>
      <c r="X913" s="342"/>
      <c r="Y913" s="336"/>
      <c r="Z913" s="123"/>
      <c r="AA913" s="33"/>
      <c r="AB913" s="123"/>
      <c r="AC913" s="33"/>
      <c r="AD913" s="123"/>
      <c r="AE913" s="33"/>
      <c r="AF913" s="123"/>
      <c r="AG913" s="243"/>
      <c r="AH913" s="33"/>
      <c r="AI913" s="245"/>
      <c r="AJ913" s="125"/>
      <c r="AK913" s="91"/>
      <c r="AL913" s="126"/>
      <c r="AM913" s="91"/>
      <c r="AN913" s="91"/>
      <c r="AO913" s="197">
        <f t="shared" si="59"/>
        <v>0</v>
      </c>
      <c r="AP913" s="126"/>
      <c r="AQ913" s="216"/>
      <c r="AR913" s="127"/>
      <c r="AS913" s="269"/>
      <c r="AT913" s="94"/>
      <c r="AU913" s="84"/>
      <c r="AV913" s="80"/>
      <c r="AW913" s="81"/>
      <c r="AX913" s="77"/>
      <c r="AY913" s="107"/>
      <c r="AZ913" s="220">
        <f t="shared" si="56"/>
        <v>0</v>
      </c>
      <c r="BA913" s="220">
        <f t="shared" si="57"/>
        <v>0</v>
      </c>
    </row>
    <row r="914" spans="1:53" ht="50.1" customHeight="1" x14ac:dyDescent="0.25">
      <c r="A914" s="17">
        <f t="shared" si="58"/>
        <v>900</v>
      </c>
      <c r="B914" s="229"/>
      <c r="C914" s="222"/>
      <c r="D914" s="112"/>
      <c r="E914" s="128"/>
      <c r="F914" s="129"/>
      <c r="G914" s="130"/>
      <c r="H914" s="131"/>
      <c r="I914" s="132"/>
      <c r="J914" s="108"/>
      <c r="K914" s="133"/>
      <c r="L914" s="134"/>
      <c r="M914" s="334"/>
      <c r="N914" s="343"/>
      <c r="O914" s="135"/>
      <c r="P914" s="82"/>
      <c r="Q914" s="135"/>
      <c r="R914" s="82"/>
      <c r="S914" s="299"/>
      <c r="T914" s="305"/>
      <c r="U914" s="298"/>
      <c r="V914" s="304"/>
      <c r="W914" s="249"/>
      <c r="X914" s="344"/>
      <c r="Y914" s="337"/>
      <c r="Z914" s="33"/>
      <c r="AA914" s="83"/>
      <c r="AB914" s="33"/>
      <c r="AC914" s="83"/>
      <c r="AD914" s="33"/>
      <c r="AE914" s="83"/>
      <c r="AF914" s="33"/>
      <c r="AG914" s="244"/>
      <c r="AH914" s="83"/>
      <c r="AI914" s="246"/>
      <c r="AJ914" s="102"/>
      <c r="AK914" s="92"/>
      <c r="AL914" s="91"/>
      <c r="AM914" s="92"/>
      <c r="AN914" s="351"/>
      <c r="AO914" s="197">
        <f t="shared" si="59"/>
        <v>0</v>
      </c>
      <c r="AP914" s="91"/>
      <c r="AQ914" s="217"/>
      <c r="AR914" s="103"/>
      <c r="AS914" s="264"/>
      <c r="AT914" s="94"/>
      <c r="AU914" s="84"/>
      <c r="AV914" s="136"/>
      <c r="AW914" s="77"/>
      <c r="AX914" s="137"/>
      <c r="AY914" s="138"/>
      <c r="AZ914" s="220">
        <f t="shared" si="56"/>
        <v>0</v>
      </c>
      <c r="BA914" s="220">
        <f t="shared" si="57"/>
        <v>0</v>
      </c>
    </row>
    <row r="915" spans="1:53" ht="50.1" customHeight="1" x14ac:dyDescent="0.25">
      <c r="A915" s="17">
        <f t="shared" si="58"/>
        <v>901</v>
      </c>
      <c r="B915" s="228"/>
      <c r="C915" s="221"/>
      <c r="D915" s="88"/>
      <c r="E915" s="100"/>
      <c r="F915" s="95"/>
      <c r="G915" s="114"/>
      <c r="H915" s="96"/>
      <c r="I915" s="97"/>
      <c r="J915" s="98"/>
      <c r="K915" s="101"/>
      <c r="L915" s="124"/>
      <c r="M915" s="333"/>
      <c r="N915" s="341"/>
      <c r="O915" s="82"/>
      <c r="P915" s="93"/>
      <c r="Q915" s="82"/>
      <c r="R915" s="93"/>
      <c r="S915" s="298"/>
      <c r="T915" s="304"/>
      <c r="U915" s="307"/>
      <c r="V915" s="309"/>
      <c r="W915" s="248"/>
      <c r="X915" s="342"/>
      <c r="Y915" s="336"/>
      <c r="Z915" s="123"/>
      <c r="AA915" s="33"/>
      <c r="AB915" s="123"/>
      <c r="AC915" s="33"/>
      <c r="AD915" s="123"/>
      <c r="AE915" s="33"/>
      <c r="AF915" s="123"/>
      <c r="AG915" s="243"/>
      <c r="AH915" s="33"/>
      <c r="AI915" s="245"/>
      <c r="AJ915" s="125"/>
      <c r="AK915" s="91"/>
      <c r="AL915" s="126"/>
      <c r="AM915" s="91"/>
      <c r="AN915" s="91"/>
      <c r="AO915" s="197">
        <f t="shared" si="59"/>
        <v>0</v>
      </c>
      <c r="AP915" s="126"/>
      <c r="AQ915" s="216"/>
      <c r="AR915" s="127"/>
      <c r="AS915" s="269"/>
      <c r="AT915" s="94"/>
      <c r="AU915" s="84"/>
      <c r="AV915" s="80"/>
      <c r="AW915" s="81"/>
      <c r="AX915" s="77"/>
      <c r="AY915" s="107"/>
      <c r="AZ915" s="220">
        <f t="shared" si="56"/>
        <v>0</v>
      </c>
      <c r="BA915" s="220">
        <f t="shared" si="57"/>
        <v>0</v>
      </c>
    </row>
    <row r="916" spans="1:53" ht="50.1" customHeight="1" x14ac:dyDescent="0.25">
      <c r="A916" s="17">
        <f t="shared" si="58"/>
        <v>902</v>
      </c>
      <c r="B916" s="229"/>
      <c r="C916" s="222"/>
      <c r="D916" s="112"/>
      <c r="E916" s="128"/>
      <c r="F916" s="129"/>
      <c r="G916" s="130"/>
      <c r="H916" s="131"/>
      <c r="I916" s="132"/>
      <c r="J916" s="108"/>
      <c r="K916" s="133"/>
      <c r="L916" s="134"/>
      <c r="M916" s="334"/>
      <c r="N916" s="343"/>
      <c r="O916" s="135"/>
      <c r="P916" s="82"/>
      <c r="Q916" s="135"/>
      <c r="R916" s="82"/>
      <c r="S916" s="299"/>
      <c r="T916" s="305"/>
      <c r="U916" s="298"/>
      <c r="V916" s="304"/>
      <c r="W916" s="249"/>
      <c r="X916" s="344"/>
      <c r="Y916" s="337"/>
      <c r="Z916" s="33"/>
      <c r="AA916" s="83"/>
      <c r="AB916" s="33"/>
      <c r="AC916" s="83"/>
      <c r="AD916" s="33"/>
      <c r="AE916" s="83"/>
      <c r="AF916" s="33"/>
      <c r="AG916" s="244"/>
      <c r="AH916" s="83"/>
      <c r="AI916" s="246"/>
      <c r="AJ916" s="102"/>
      <c r="AK916" s="92"/>
      <c r="AL916" s="91"/>
      <c r="AM916" s="92"/>
      <c r="AN916" s="351"/>
      <c r="AO916" s="197">
        <f t="shared" si="59"/>
        <v>0</v>
      </c>
      <c r="AP916" s="91"/>
      <c r="AQ916" s="217"/>
      <c r="AR916" s="103"/>
      <c r="AS916" s="264"/>
      <c r="AT916" s="94"/>
      <c r="AU916" s="84"/>
      <c r="AV916" s="136"/>
      <c r="AW916" s="77"/>
      <c r="AX916" s="137"/>
      <c r="AY916" s="138"/>
      <c r="AZ916" s="220">
        <f t="shared" si="56"/>
        <v>0</v>
      </c>
      <c r="BA916" s="220">
        <f t="shared" si="57"/>
        <v>0</v>
      </c>
    </row>
    <row r="917" spans="1:53" ht="50.1" customHeight="1" x14ac:dyDescent="0.25">
      <c r="A917" s="17">
        <f t="shared" si="58"/>
        <v>903</v>
      </c>
      <c r="B917" s="228"/>
      <c r="C917" s="221"/>
      <c r="D917" s="88"/>
      <c r="E917" s="100"/>
      <c r="F917" s="95"/>
      <c r="G917" s="114"/>
      <c r="H917" s="96"/>
      <c r="I917" s="97"/>
      <c r="J917" s="98"/>
      <c r="K917" s="101"/>
      <c r="L917" s="124"/>
      <c r="M917" s="333"/>
      <c r="N917" s="341"/>
      <c r="O917" s="82"/>
      <c r="P917" s="93"/>
      <c r="Q917" s="82"/>
      <c r="R917" s="93"/>
      <c r="S917" s="298"/>
      <c r="T917" s="304"/>
      <c r="U917" s="307"/>
      <c r="V917" s="309"/>
      <c r="W917" s="248"/>
      <c r="X917" s="342"/>
      <c r="Y917" s="336"/>
      <c r="Z917" s="123"/>
      <c r="AA917" s="33"/>
      <c r="AB917" s="123"/>
      <c r="AC917" s="33"/>
      <c r="AD917" s="123"/>
      <c r="AE917" s="33"/>
      <c r="AF917" s="123"/>
      <c r="AG917" s="243"/>
      <c r="AH917" s="33"/>
      <c r="AI917" s="245"/>
      <c r="AJ917" s="125"/>
      <c r="AK917" s="91"/>
      <c r="AL917" s="126"/>
      <c r="AM917" s="91"/>
      <c r="AN917" s="91"/>
      <c r="AO917" s="197">
        <f t="shared" si="59"/>
        <v>0</v>
      </c>
      <c r="AP917" s="126"/>
      <c r="AQ917" s="216"/>
      <c r="AR917" s="127"/>
      <c r="AS917" s="269"/>
      <c r="AT917" s="94"/>
      <c r="AU917" s="84"/>
      <c r="AV917" s="80"/>
      <c r="AW917" s="81"/>
      <c r="AX917" s="77"/>
      <c r="AY917" s="107"/>
      <c r="AZ917" s="220">
        <f t="shared" si="56"/>
        <v>0</v>
      </c>
      <c r="BA917" s="220">
        <f t="shared" si="57"/>
        <v>0</v>
      </c>
    </row>
    <row r="918" spans="1:53" ht="50.1" customHeight="1" x14ac:dyDescent="0.25">
      <c r="A918" s="17">
        <f t="shared" si="58"/>
        <v>904</v>
      </c>
      <c r="B918" s="229"/>
      <c r="C918" s="222"/>
      <c r="D918" s="112"/>
      <c r="E918" s="128"/>
      <c r="F918" s="129"/>
      <c r="G918" s="130"/>
      <c r="H918" s="131"/>
      <c r="I918" s="132"/>
      <c r="J918" s="108"/>
      <c r="K918" s="133"/>
      <c r="L918" s="134"/>
      <c r="M918" s="334"/>
      <c r="N918" s="343"/>
      <c r="O918" s="135"/>
      <c r="P918" s="82"/>
      <c r="Q918" s="135"/>
      <c r="R918" s="82"/>
      <c r="S918" s="299"/>
      <c r="T918" s="305"/>
      <c r="U918" s="298"/>
      <c r="V918" s="304"/>
      <c r="W918" s="249"/>
      <c r="X918" s="344"/>
      <c r="Y918" s="337"/>
      <c r="Z918" s="33"/>
      <c r="AA918" s="83"/>
      <c r="AB918" s="33"/>
      <c r="AC918" s="83"/>
      <c r="AD918" s="33"/>
      <c r="AE918" s="83"/>
      <c r="AF918" s="33"/>
      <c r="AG918" s="244"/>
      <c r="AH918" s="83"/>
      <c r="AI918" s="246"/>
      <c r="AJ918" s="102"/>
      <c r="AK918" s="92"/>
      <c r="AL918" s="91"/>
      <c r="AM918" s="92"/>
      <c r="AN918" s="351"/>
      <c r="AO918" s="197">
        <f t="shared" si="59"/>
        <v>0</v>
      </c>
      <c r="AP918" s="91"/>
      <c r="AQ918" s="217"/>
      <c r="AR918" s="103"/>
      <c r="AS918" s="264"/>
      <c r="AT918" s="94"/>
      <c r="AU918" s="84"/>
      <c r="AV918" s="136"/>
      <c r="AW918" s="77"/>
      <c r="AX918" s="137"/>
      <c r="AY918" s="138"/>
      <c r="AZ918" s="220">
        <f t="shared" si="56"/>
        <v>0</v>
      </c>
      <c r="BA918" s="220">
        <f t="shared" si="57"/>
        <v>0</v>
      </c>
    </row>
    <row r="919" spans="1:53" ht="50.1" customHeight="1" x14ac:dyDescent="0.25">
      <c r="A919" s="17">
        <f t="shared" si="58"/>
        <v>905</v>
      </c>
      <c r="B919" s="228"/>
      <c r="C919" s="221"/>
      <c r="D919" s="88"/>
      <c r="E919" s="100"/>
      <c r="F919" s="95"/>
      <c r="G919" s="114"/>
      <c r="H919" s="96"/>
      <c r="I919" s="97"/>
      <c r="J919" s="98"/>
      <c r="K919" s="101"/>
      <c r="L919" s="124"/>
      <c r="M919" s="333"/>
      <c r="N919" s="341"/>
      <c r="O919" s="82"/>
      <c r="P919" s="93"/>
      <c r="Q919" s="82"/>
      <c r="R919" s="93"/>
      <c r="S919" s="298"/>
      <c r="T919" s="304"/>
      <c r="U919" s="307"/>
      <c r="V919" s="309"/>
      <c r="W919" s="248"/>
      <c r="X919" s="342"/>
      <c r="Y919" s="336"/>
      <c r="Z919" s="123"/>
      <c r="AA919" s="33"/>
      <c r="AB919" s="123"/>
      <c r="AC919" s="33"/>
      <c r="AD919" s="123"/>
      <c r="AE919" s="33"/>
      <c r="AF919" s="123"/>
      <c r="AG919" s="243"/>
      <c r="AH919" s="33"/>
      <c r="AI919" s="245"/>
      <c r="AJ919" s="125"/>
      <c r="AK919" s="91"/>
      <c r="AL919" s="126"/>
      <c r="AM919" s="91"/>
      <c r="AN919" s="91"/>
      <c r="AO919" s="197">
        <f t="shared" si="59"/>
        <v>0</v>
      </c>
      <c r="AP919" s="126"/>
      <c r="AQ919" s="216"/>
      <c r="AR919" s="127"/>
      <c r="AS919" s="269"/>
      <c r="AT919" s="94"/>
      <c r="AU919" s="84"/>
      <c r="AV919" s="80"/>
      <c r="AW919" s="81"/>
      <c r="AX919" s="77"/>
      <c r="AY919" s="107"/>
      <c r="AZ919" s="220">
        <f t="shared" si="56"/>
        <v>0</v>
      </c>
      <c r="BA919" s="220">
        <f t="shared" si="57"/>
        <v>0</v>
      </c>
    </row>
    <row r="920" spans="1:53" ht="50.1" customHeight="1" x14ac:dyDescent="0.25">
      <c r="A920" s="17">
        <f t="shared" si="58"/>
        <v>906</v>
      </c>
      <c r="B920" s="229"/>
      <c r="C920" s="222"/>
      <c r="D920" s="112"/>
      <c r="E920" s="128"/>
      <c r="F920" s="129"/>
      <c r="G920" s="130"/>
      <c r="H920" s="131"/>
      <c r="I920" s="132"/>
      <c r="J920" s="108"/>
      <c r="K920" s="133"/>
      <c r="L920" s="134"/>
      <c r="M920" s="334"/>
      <c r="N920" s="343"/>
      <c r="O920" s="135"/>
      <c r="P920" s="82"/>
      <c r="Q920" s="135"/>
      <c r="R920" s="82"/>
      <c r="S920" s="299"/>
      <c r="T920" s="305"/>
      <c r="U920" s="298"/>
      <c r="V920" s="304"/>
      <c r="W920" s="249"/>
      <c r="X920" s="344"/>
      <c r="Y920" s="337"/>
      <c r="Z920" s="33"/>
      <c r="AA920" s="83"/>
      <c r="AB920" s="33"/>
      <c r="AC920" s="83"/>
      <c r="AD920" s="33"/>
      <c r="AE920" s="83"/>
      <c r="AF920" s="33"/>
      <c r="AG920" s="244"/>
      <c r="AH920" s="83"/>
      <c r="AI920" s="246"/>
      <c r="AJ920" s="102"/>
      <c r="AK920" s="92"/>
      <c r="AL920" s="91"/>
      <c r="AM920" s="92"/>
      <c r="AN920" s="351"/>
      <c r="AO920" s="197">
        <f t="shared" si="59"/>
        <v>0</v>
      </c>
      <c r="AP920" s="91"/>
      <c r="AQ920" s="217"/>
      <c r="AR920" s="103"/>
      <c r="AS920" s="264"/>
      <c r="AT920" s="94"/>
      <c r="AU920" s="84"/>
      <c r="AV920" s="136"/>
      <c r="AW920" s="77"/>
      <c r="AX920" s="137"/>
      <c r="AY920" s="138"/>
      <c r="AZ920" s="220">
        <f t="shared" si="56"/>
        <v>0</v>
      </c>
      <c r="BA920" s="220">
        <f t="shared" si="57"/>
        <v>0</v>
      </c>
    </row>
    <row r="921" spans="1:53" ht="50.1" customHeight="1" x14ac:dyDescent="0.25">
      <c r="A921" s="17">
        <f t="shared" si="58"/>
        <v>907</v>
      </c>
      <c r="B921" s="228"/>
      <c r="C921" s="221"/>
      <c r="D921" s="88"/>
      <c r="E921" s="100"/>
      <c r="F921" s="95"/>
      <c r="G921" s="114"/>
      <c r="H921" s="96"/>
      <c r="I921" s="97"/>
      <c r="J921" s="98"/>
      <c r="K921" s="101"/>
      <c r="L921" s="124"/>
      <c r="M921" s="333"/>
      <c r="N921" s="341"/>
      <c r="O921" s="82"/>
      <c r="P921" s="93"/>
      <c r="Q921" s="82"/>
      <c r="R921" s="93"/>
      <c r="S921" s="298"/>
      <c r="T921" s="304"/>
      <c r="U921" s="307"/>
      <c r="V921" s="309"/>
      <c r="W921" s="248"/>
      <c r="X921" s="342"/>
      <c r="Y921" s="336"/>
      <c r="Z921" s="123"/>
      <c r="AA921" s="33"/>
      <c r="AB921" s="123"/>
      <c r="AC921" s="33"/>
      <c r="AD921" s="123"/>
      <c r="AE921" s="33"/>
      <c r="AF921" s="123"/>
      <c r="AG921" s="243"/>
      <c r="AH921" s="33"/>
      <c r="AI921" s="245"/>
      <c r="AJ921" s="125"/>
      <c r="AK921" s="91"/>
      <c r="AL921" s="126"/>
      <c r="AM921" s="91"/>
      <c r="AN921" s="91"/>
      <c r="AO921" s="197">
        <f t="shared" si="59"/>
        <v>0</v>
      </c>
      <c r="AP921" s="126"/>
      <c r="AQ921" s="216"/>
      <c r="AR921" s="127"/>
      <c r="AS921" s="269"/>
      <c r="AT921" s="94"/>
      <c r="AU921" s="84"/>
      <c r="AV921" s="80"/>
      <c r="AW921" s="81"/>
      <c r="AX921" s="77"/>
      <c r="AY921" s="107"/>
      <c r="AZ921" s="220">
        <f t="shared" si="56"/>
        <v>0</v>
      </c>
      <c r="BA921" s="220">
        <f t="shared" si="57"/>
        <v>0</v>
      </c>
    </row>
    <row r="922" spans="1:53" ht="50.1" customHeight="1" x14ac:dyDescent="0.25">
      <c r="A922" s="17">
        <f t="shared" si="58"/>
        <v>908</v>
      </c>
      <c r="B922" s="229"/>
      <c r="C922" s="222"/>
      <c r="D922" s="112"/>
      <c r="E922" s="128"/>
      <c r="F922" s="129"/>
      <c r="G922" s="130"/>
      <c r="H922" s="131"/>
      <c r="I922" s="132"/>
      <c r="J922" s="108"/>
      <c r="K922" s="133"/>
      <c r="L922" s="134"/>
      <c r="M922" s="334"/>
      <c r="N922" s="343"/>
      <c r="O922" s="135"/>
      <c r="P922" s="82"/>
      <c r="Q922" s="135"/>
      <c r="R922" s="82"/>
      <c r="S922" s="299"/>
      <c r="T922" s="305"/>
      <c r="U922" s="298"/>
      <c r="V922" s="304"/>
      <c r="W922" s="249"/>
      <c r="X922" s="344"/>
      <c r="Y922" s="337"/>
      <c r="Z922" s="33"/>
      <c r="AA922" s="83"/>
      <c r="AB922" s="33"/>
      <c r="AC922" s="83"/>
      <c r="AD922" s="33"/>
      <c r="AE922" s="83"/>
      <c r="AF922" s="33"/>
      <c r="AG922" s="244"/>
      <c r="AH922" s="83"/>
      <c r="AI922" s="246"/>
      <c r="AJ922" s="102"/>
      <c r="AK922" s="92"/>
      <c r="AL922" s="91"/>
      <c r="AM922" s="92"/>
      <c r="AN922" s="351"/>
      <c r="AO922" s="197">
        <f t="shared" si="59"/>
        <v>0</v>
      </c>
      <c r="AP922" s="91"/>
      <c r="AQ922" s="217"/>
      <c r="AR922" s="103"/>
      <c r="AS922" s="264"/>
      <c r="AT922" s="94"/>
      <c r="AU922" s="84"/>
      <c r="AV922" s="136"/>
      <c r="AW922" s="77"/>
      <c r="AX922" s="137"/>
      <c r="AY922" s="138"/>
      <c r="AZ922" s="220">
        <f t="shared" si="56"/>
        <v>0</v>
      </c>
      <c r="BA922" s="220">
        <f t="shared" si="57"/>
        <v>0</v>
      </c>
    </row>
    <row r="923" spans="1:53" ht="50.1" customHeight="1" x14ac:dyDescent="0.25">
      <c r="A923" s="17">
        <f t="shared" si="58"/>
        <v>909</v>
      </c>
      <c r="B923" s="228"/>
      <c r="C923" s="221"/>
      <c r="D923" s="88"/>
      <c r="E923" s="100"/>
      <c r="F923" s="95"/>
      <c r="G923" s="114"/>
      <c r="H923" s="96"/>
      <c r="I923" s="97"/>
      <c r="J923" s="98"/>
      <c r="K923" s="101"/>
      <c r="L923" s="124"/>
      <c r="M923" s="333"/>
      <c r="N923" s="341"/>
      <c r="O923" s="82"/>
      <c r="P923" s="93"/>
      <c r="Q923" s="82"/>
      <c r="R923" s="93"/>
      <c r="S923" s="298"/>
      <c r="T923" s="304"/>
      <c r="U923" s="307"/>
      <c r="V923" s="309"/>
      <c r="W923" s="248"/>
      <c r="X923" s="342"/>
      <c r="Y923" s="336"/>
      <c r="Z923" s="123"/>
      <c r="AA923" s="33"/>
      <c r="AB923" s="123"/>
      <c r="AC923" s="33"/>
      <c r="AD923" s="123"/>
      <c r="AE923" s="33"/>
      <c r="AF923" s="123"/>
      <c r="AG923" s="243"/>
      <c r="AH923" s="33"/>
      <c r="AI923" s="245"/>
      <c r="AJ923" s="125"/>
      <c r="AK923" s="91"/>
      <c r="AL923" s="126"/>
      <c r="AM923" s="91"/>
      <c r="AN923" s="91"/>
      <c r="AO923" s="197">
        <f t="shared" si="59"/>
        <v>0</v>
      </c>
      <c r="AP923" s="126"/>
      <c r="AQ923" s="216"/>
      <c r="AR923" s="127"/>
      <c r="AS923" s="269"/>
      <c r="AT923" s="94"/>
      <c r="AU923" s="84"/>
      <c r="AV923" s="80"/>
      <c r="AW923" s="81"/>
      <c r="AX923" s="77"/>
      <c r="AY923" s="107"/>
      <c r="AZ923" s="220">
        <f t="shared" si="56"/>
        <v>0</v>
      </c>
      <c r="BA923" s="220">
        <f t="shared" si="57"/>
        <v>0</v>
      </c>
    </row>
    <row r="924" spans="1:53" ht="50.1" customHeight="1" x14ac:dyDescent="0.25">
      <c r="A924" s="17">
        <f t="shared" si="58"/>
        <v>910</v>
      </c>
      <c r="B924" s="229"/>
      <c r="C924" s="222"/>
      <c r="D924" s="112"/>
      <c r="E924" s="128"/>
      <c r="F924" s="129"/>
      <c r="G924" s="130"/>
      <c r="H924" s="131"/>
      <c r="I924" s="132"/>
      <c r="J924" s="108"/>
      <c r="K924" s="133"/>
      <c r="L924" s="134"/>
      <c r="M924" s="334"/>
      <c r="N924" s="343"/>
      <c r="O924" s="135"/>
      <c r="P924" s="82"/>
      <c r="Q924" s="135"/>
      <c r="R924" s="82"/>
      <c r="S924" s="299"/>
      <c r="T924" s="305"/>
      <c r="U924" s="298"/>
      <c r="V924" s="304"/>
      <c r="W924" s="249"/>
      <c r="X924" s="344"/>
      <c r="Y924" s="337"/>
      <c r="Z924" s="33"/>
      <c r="AA924" s="83"/>
      <c r="AB924" s="33"/>
      <c r="AC924" s="83"/>
      <c r="AD924" s="33"/>
      <c r="AE924" s="83"/>
      <c r="AF924" s="33"/>
      <c r="AG924" s="244"/>
      <c r="AH924" s="83"/>
      <c r="AI924" s="246"/>
      <c r="AJ924" s="102"/>
      <c r="AK924" s="92"/>
      <c r="AL924" s="91"/>
      <c r="AM924" s="92"/>
      <c r="AN924" s="351"/>
      <c r="AO924" s="197">
        <f t="shared" si="59"/>
        <v>0</v>
      </c>
      <c r="AP924" s="91"/>
      <c r="AQ924" s="217"/>
      <c r="AR924" s="103"/>
      <c r="AS924" s="264"/>
      <c r="AT924" s="94"/>
      <c r="AU924" s="84"/>
      <c r="AV924" s="136"/>
      <c r="AW924" s="77"/>
      <c r="AX924" s="137"/>
      <c r="AY924" s="138"/>
      <c r="AZ924" s="220">
        <f t="shared" si="56"/>
        <v>0</v>
      </c>
      <c r="BA924" s="220">
        <f t="shared" si="57"/>
        <v>0</v>
      </c>
    </row>
    <row r="925" spans="1:53" ht="50.1" customHeight="1" x14ac:dyDescent="0.25">
      <c r="A925" s="17">
        <f t="shared" si="58"/>
        <v>911</v>
      </c>
      <c r="B925" s="228"/>
      <c r="C925" s="221"/>
      <c r="D925" s="88"/>
      <c r="E925" s="100"/>
      <c r="F925" s="95"/>
      <c r="G925" s="114"/>
      <c r="H925" s="96"/>
      <c r="I925" s="97"/>
      <c r="J925" s="98"/>
      <c r="K925" s="101"/>
      <c r="L925" s="124"/>
      <c r="M925" s="333"/>
      <c r="N925" s="341"/>
      <c r="O925" s="82"/>
      <c r="P925" s="93"/>
      <c r="Q925" s="82"/>
      <c r="R925" s="93"/>
      <c r="S925" s="298"/>
      <c r="T925" s="304"/>
      <c r="U925" s="307"/>
      <c r="V925" s="309"/>
      <c r="W925" s="248"/>
      <c r="X925" s="342"/>
      <c r="Y925" s="336"/>
      <c r="Z925" s="123"/>
      <c r="AA925" s="33"/>
      <c r="AB925" s="123"/>
      <c r="AC925" s="33"/>
      <c r="AD925" s="123"/>
      <c r="AE925" s="33"/>
      <c r="AF925" s="123"/>
      <c r="AG925" s="243"/>
      <c r="AH925" s="33"/>
      <c r="AI925" s="245"/>
      <c r="AJ925" s="125"/>
      <c r="AK925" s="91"/>
      <c r="AL925" s="126"/>
      <c r="AM925" s="91"/>
      <c r="AN925" s="91"/>
      <c r="AO925" s="197">
        <f t="shared" si="59"/>
        <v>0</v>
      </c>
      <c r="AP925" s="126"/>
      <c r="AQ925" s="216"/>
      <c r="AR925" s="127"/>
      <c r="AS925" s="269"/>
      <c r="AT925" s="94"/>
      <c r="AU925" s="84"/>
      <c r="AV925" s="80"/>
      <c r="AW925" s="81"/>
      <c r="AX925" s="77"/>
      <c r="AY925" s="107"/>
      <c r="AZ925" s="220">
        <f t="shared" si="56"/>
        <v>0</v>
      </c>
      <c r="BA925" s="220">
        <f t="shared" si="57"/>
        <v>0</v>
      </c>
    </row>
    <row r="926" spans="1:53" ht="50.1" customHeight="1" x14ac:dyDescent="0.25">
      <c r="A926" s="17">
        <f t="shared" si="58"/>
        <v>912</v>
      </c>
      <c r="B926" s="229"/>
      <c r="C926" s="222"/>
      <c r="D926" s="112"/>
      <c r="E926" s="128"/>
      <c r="F926" s="129"/>
      <c r="G926" s="130"/>
      <c r="H926" s="131"/>
      <c r="I926" s="132"/>
      <c r="J926" s="108"/>
      <c r="K926" s="133"/>
      <c r="L926" s="134"/>
      <c r="M926" s="334"/>
      <c r="N926" s="343"/>
      <c r="O926" s="135"/>
      <c r="P926" s="82"/>
      <c r="Q926" s="135"/>
      <c r="R926" s="82"/>
      <c r="S926" s="299"/>
      <c r="T926" s="305"/>
      <c r="U926" s="298"/>
      <c r="V926" s="304"/>
      <c r="W926" s="249"/>
      <c r="X926" s="344"/>
      <c r="Y926" s="337"/>
      <c r="Z926" s="33"/>
      <c r="AA926" s="83"/>
      <c r="AB926" s="33"/>
      <c r="AC926" s="83"/>
      <c r="AD926" s="33"/>
      <c r="AE926" s="83"/>
      <c r="AF926" s="33"/>
      <c r="AG926" s="244"/>
      <c r="AH926" s="83"/>
      <c r="AI926" s="246"/>
      <c r="AJ926" s="102"/>
      <c r="AK926" s="92"/>
      <c r="AL926" s="91"/>
      <c r="AM926" s="92"/>
      <c r="AN926" s="351"/>
      <c r="AO926" s="197">
        <f t="shared" si="59"/>
        <v>0</v>
      </c>
      <c r="AP926" s="91"/>
      <c r="AQ926" s="217"/>
      <c r="AR926" s="103"/>
      <c r="AS926" s="264"/>
      <c r="AT926" s="94"/>
      <c r="AU926" s="84"/>
      <c r="AV926" s="136"/>
      <c r="AW926" s="77"/>
      <c r="AX926" s="137"/>
      <c r="AY926" s="138"/>
      <c r="AZ926" s="220">
        <f t="shared" si="56"/>
        <v>0</v>
      </c>
      <c r="BA926" s="220">
        <f t="shared" si="57"/>
        <v>0</v>
      </c>
    </row>
    <row r="927" spans="1:53" ht="50.1" customHeight="1" x14ac:dyDescent="0.25">
      <c r="A927" s="17">
        <f t="shared" si="58"/>
        <v>913</v>
      </c>
      <c r="B927" s="228"/>
      <c r="C927" s="221"/>
      <c r="D927" s="88"/>
      <c r="E927" s="100"/>
      <c r="F927" s="95"/>
      <c r="G927" s="114"/>
      <c r="H927" s="96"/>
      <c r="I927" s="97"/>
      <c r="J927" s="98"/>
      <c r="K927" s="101"/>
      <c r="L927" s="124"/>
      <c r="M927" s="333"/>
      <c r="N927" s="341"/>
      <c r="O927" s="82"/>
      <c r="P927" s="93"/>
      <c r="Q927" s="82"/>
      <c r="R927" s="93"/>
      <c r="S927" s="298"/>
      <c r="T927" s="304"/>
      <c r="U927" s="307"/>
      <c r="V927" s="309"/>
      <c r="W927" s="248"/>
      <c r="X927" s="342"/>
      <c r="Y927" s="336"/>
      <c r="Z927" s="123"/>
      <c r="AA927" s="33"/>
      <c r="AB927" s="123"/>
      <c r="AC927" s="33"/>
      <c r="AD927" s="123"/>
      <c r="AE927" s="33"/>
      <c r="AF927" s="123"/>
      <c r="AG927" s="243"/>
      <c r="AH927" s="33"/>
      <c r="AI927" s="245"/>
      <c r="AJ927" s="125"/>
      <c r="AK927" s="91"/>
      <c r="AL927" s="126"/>
      <c r="AM927" s="91"/>
      <c r="AN927" s="91"/>
      <c r="AO927" s="197">
        <f t="shared" si="59"/>
        <v>0</v>
      </c>
      <c r="AP927" s="126"/>
      <c r="AQ927" s="216"/>
      <c r="AR927" s="127"/>
      <c r="AS927" s="269"/>
      <c r="AT927" s="94"/>
      <c r="AU927" s="84"/>
      <c r="AV927" s="80"/>
      <c r="AW927" s="81"/>
      <c r="AX927" s="77"/>
      <c r="AY927" s="107"/>
      <c r="AZ927" s="220">
        <f t="shared" si="56"/>
        <v>0</v>
      </c>
      <c r="BA927" s="220">
        <f t="shared" si="57"/>
        <v>0</v>
      </c>
    </row>
    <row r="928" spans="1:53" ht="50.1" customHeight="1" x14ac:dyDescent="0.25">
      <c r="A928" s="17">
        <f t="shared" si="58"/>
        <v>914</v>
      </c>
      <c r="B928" s="229"/>
      <c r="C928" s="222"/>
      <c r="D928" s="112"/>
      <c r="E928" s="128"/>
      <c r="F928" s="129"/>
      <c r="G928" s="130"/>
      <c r="H928" s="131"/>
      <c r="I928" s="132"/>
      <c r="J928" s="108"/>
      <c r="K928" s="133"/>
      <c r="L928" s="134"/>
      <c r="M928" s="334"/>
      <c r="N928" s="343"/>
      <c r="O928" s="135"/>
      <c r="P928" s="82"/>
      <c r="Q928" s="135"/>
      <c r="R928" s="82"/>
      <c r="S928" s="299"/>
      <c r="T928" s="305"/>
      <c r="U928" s="298"/>
      <c r="V928" s="304"/>
      <c r="W928" s="249"/>
      <c r="X928" s="344"/>
      <c r="Y928" s="337"/>
      <c r="Z928" s="33"/>
      <c r="AA928" s="83"/>
      <c r="AB928" s="33"/>
      <c r="AC928" s="83"/>
      <c r="AD928" s="33"/>
      <c r="AE928" s="83"/>
      <c r="AF928" s="33"/>
      <c r="AG928" s="244"/>
      <c r="AH928" s="83"/>
      <c r="AI928" s="246"/>
      <c r="AJ928" s="102"/>
      <c r="AK928" s="92"/>
      <c r="AL928" s="91"/>
      <c r="AM928" s="92"/>
      <c r="AN928" s="351"/>
      <c r="AO928" s="197">
        <f t="shared" si="59"/>
        <v>0</v>
      </c>
      <c r="AP928" s="91"/>
      <c r="AQ928" s="217"/>
      <c r="AR928" s="103"/>
      <c r="AS928" s="264"/>
      <c r="AT928" s="94"/>
      <c r="AU928" s="84"/>
      <c r="AV928" s="136"/>
      <c r="AW928" s="77"/>
      <c r="AX928" s="137"/>
      <c r="AY928" s="138"/>
      <c r="AZ928" s="220">
        <f t="shared" si="56"/>
        <v>0</v>
      </c>
      <c r="BA928" s="220">
        <f t="shared" si="57"/>
        <v>0</v>
      </c>
    </row>
    <row r="929" spans="1:53" ht="50.1" customHeight="1" x14ac:dyDescent="0.25">
      <c r="A929" s="17">
        <f t="shared" si="58"/>
        <v>915</v>
      </c>
      <c r="B929" s="228"/>
      <c r="C929" s="221"/>
      <c r="D929" s="88"/>
      <c r="E929" s="100"/>
      <c r="F929" s="95"/>
      <c r="G929" s="114"/>
      <c r="H929" s="96"/>
      <c r="I929" s="97"/>
      <c r="J929" s="98"/>
      <c r="K929" s="101"/>
      <c r="L929" s="124"/>
      <c r="M929" s="333"/>
      <c r="N929" s="341"/>
      <c r="O929" s="82"/>
      <c r="P929" s="93"/>
      <c r="Q929" s="82"/>
      <c r="R929" s="93"/>
      <c r="S929" s="298"/>
      <c r="T929" s="304"/>
      <c r="U929" s="307"/>
      <c r="V929" s="309"/>
      <c r="W929" s="248"/>
      <c r="X929" s="342"/>
      <c r="Y929" s="336"/>
      <c r="Z929" s="123"/>
      <c r="AA929" s="33"/>
      <c r="AB929" s="123"/>
      <c r="AC929" s="33"/>
      <c r="AD929" s="123"/>
      <c r="AE929" s="33"/>
      <c r="AF929" s="123"/>
      <c r="AG929" s="243"/>
      <c r="AH929" s="33"/>
      <c r="AI929" s="245"/>
      <c r="AJ929" s="125"/>
      <c r="AK929" s="91"/>
      <c r="AL929" s="126"/>
      <c r="AM929" s="91"/>
      <c r="AN929" s="91"/>
      <c r="AO929" s="197">
        <f t="shared" si="59"/>
        <v>0</v>
      </c>
      <c r="AP929" s="126"/>
      <c r="AQ929" s="216"/>
      <c r="AR929" s="127"/>
      <c r="AS929" s="269"/>
      <c r="AT929" s="94"/>
      <c r="AU929" s="84"/>
      <c r="AV929" s="80"/>
      <c r="AW929" s="81"/>
      <c r="AX929" s="77"/>
      <c r="AY929" s="107"/>
      <c r="AZ929" s="220">
        <f t="shared" si="56"/>
        <v>0</v>
      </c>
      <c r="BA929" s="220">
        <f t="shared" si="57"/>
        <v>0</v>
      </c>
    </row>
    <row r="930" spans="1:53" ht="50.1" customHeight="1" x14ac:dyDescent="0.25">
      <c r="A930" s="17">
        <f t="shared" si="58"/>
        <v>916</v>
      </c>
      <c r="B930" s="229"/>
      <c r="C930" s="222"/>
      <c r="D930" s="112"/>
      <c r="E930" s="128"/>
      <c r="F930" s="129"/>
      <c r="G930" s="130"/>
      <c r="H930" s="131"/>
      <c r="I930" s="132"/>
      <c r="J930" s="108"/>
      <c r="K930" s="133"/>
      <c r="L930" s="134"/>
      <c r="M930" s="334"/>
      <c r="N930" s="343"/>
      <c r="O930" s="135"/>
      <c r="P930" s="82"/>
      <c r="Q930" s="135"/>
      <c r="R930" s="82"/>
      <c r="S930" s="299"/>
      <c r="T930" s="305"/>
      <c r="U930" s="298"/>
      <c r="V930" s="304"/>
      <c r="W930" s="249"/>
      <c r="X930" s="344"/>
      <c r="Y930" s="337"/>
      <c r="Z930" s="33"/>
      <c r="AA930" s="83"/>
      <c r="AB930" s="33"/>
      <c r="AC930" s="83"/>
      <c r="AD930" s="33"/>
      <c r="AE930" s="83"/>
      <c r="AF930" s="33"/>
      <c r="AG930" s="244"/>
      <c r="AH930" s="83"/>
      <c r="AI930" s="246"/>
      <c r="AJ930" s="102"/>
      <c r="AK930" s="92"/>
      <c r="AL930" s="91"/>
      <c r="AM930" s="92"/>
      <c r="AN930" s="351"/>
      <c r="AO930" s="197">
        <f t="shared" si="59"/>
        <v>0</v>
      </c>
      <c r="AP930" s="91"/>
      <c r="AQ930" s="217"/>
      <c r="AR930" s="103"/>
      <c r="AS930" s="264"/>
      <c r="AT930" s="94"/>
      <c r="AU930" s="84"/>
      <c r="AV930" s="136"/>
      <c r="AW930" s="77"/>
      <c r="AX930" s="137"/>
      <c r="AY930" s="138"/>
      <c r="AZ930" s="220">
        <f t="shared" si="56"/>
        <v>0</v>
      </c>
      <c r="BA930" s="220">
        <f t="shared" si="57"/>
        <v>0</v>
      </c>
    </row>
    <row r="931" spans="1:53" ht="50.1" customHeight="1" x14ac:dyDescent="0.25">
      <c r="A931" s="17">
        <f t="shared" si="58"/>
        <v>917</v>
      </c>
      <c r="B931" s="228"/>
      <c r="C931" s="221"/>
      <c r="D931" s="88"/>
      <c r="E931" s="100"/>
      <c r="F931" s="95"/>
      <c r="G931" s="114"/>
      <c r="H931" s="96"/>
      <c r="I931" s="97"/>
      <c r="J931" s="98"/>
      <c r="K931" s="101"/>
      <c r="L931" s="124"/>
      <c r="M931" s="333"/>
      <c r="N931" s="341"/>
      <c r="O931" s="82"/>
      <c r="P931" s="93"/>
      <c r="Q931" s="82"/>
      <c r="R931" s="93"/>
      <c r="S931" s="298"/>
      <c r="T931" s="304"/>
      <c r="U931" s="307"/>
      <c r="V931" s="309"/>
      <c r="W931" s="248"/>
      <c r="X931" s="342"/>
      <c r="Y931" s="336"/>
      <c r="Z931" s="123"/>
      <c r="AA931" s="33"/>
      <c r="AB931" s="123"/>
      <c r="AC931" s="33"/>
      <c r="AD931" s="123"/>
      <c r="AE931" s="33"/>
      <c r="AF931" s="123"/>
      <c r="AG931" s="243"/>
      <c r="AH931" s="33"/>
      <c r="AI931" s="245"/>
      <c r="AJ931" s="125"/>
      <c r="AK931" s="91"/>
      <c r="AL931" s="126"/>
      <c r="AM931" s="91"/>
      <c r="AN931" s="91"/>
      <c r="AO931" s="197">
        <f t="shared" si="59"/>
        <v>0</v>
      </c>
      <c r="AP931" s="126"/>
      <c r="AQ931" s="216"/>
      <c r="AR931" s="127"/>
      <c r="AS931" s="269"/>
      <c r="AT931" s="94"/>
      <c r="AU931" s="84"/>
      <c r="AV931" s="80"/>
      <c r="AW931" s="81"/>
      <c r="AX931" s="77"/>
      <c r="AY931" s="107"/>
      <c r="AZ931" s="220">
        <f t="shared" si="56"/>
        <v>0</v>
      </c>
      <c r="BA931" s="220">
        <f t="shared" si="57"/>
        <v>0</v>
      </c>
    </row>
    <row r="932" spans="1:53" ht="50.1" customHeight="1" x14ac:dyDescent="0.25">
      <c r="A932" s="17">
        <f t="shared" si="58"/>
        <v>918</v>
      </c>
      <c r="B932" s="229"/>
      <c r="C932" s="222"/>
      <c r="D932" s="112"/>
      <c r="E932" s="128"/>
      <c r="F932" s="129"/>
      <c r="G932" s="130"/>
      <c r="H932" s="131"/>
      <c r="I932" s="132"/>
      <c r="J932" s="108"/>
      <c r="K932" s="133"/>
      <c r="L932" s="134"/>
      <c r="M932" s="334"/>
      <c r="N932" s="343"/>
      <c r="O932" s="135"/>
      <c r="P932" s="82"/>
      <c r="Q932" s="135"/>
      <c r="R932" s="82"/>
      <c r="S932" s="299"/>
      <c r="T932" s="305"/>
      <c r="U932" s="298"/>
      <c r="V932" s="304"/>
      <c r="W932" s="249"/>
      <c r="X932" s="344"/>
      <c r="Y932" s="337"/>
      <c r="Z932" s="33"/>
      <c r="AA932" s="83"/>
      <c r="AB932" s="33"/>
      <c r="AC932" s="83"/>
      <c r="AD932" s="33"/>
      <c r="AE932" s="83"/>
      <c r="AF932" s="33"/>
      <c r="AG932" s="244"/>
      <c r="AH932" s="83"/>
      <c r="AI932" s="246"/>
      <c r="AJ932" s="102"/>
      <c r="AK932" s="92"/>
      <c r="AL932" s="91"/>
      <c r="AM932" s="92"/>
      <c r="AN932" s="351"/>
      <c r="AO932" s="197">
        <f t="shared" si="59"/>
        <v>0</v>
      </c>
      <c r="AP932" s="91"/>
      <c r="AQ932" s="217"/>
      <c r="AR932" s="103"/>
      <c r="AS932" s="264"/>
      <c r="AT932" s="94"/>
      <c r="AU932" s="84"/>
      <c r="AV932" s="136"/>
      <c r="AW932" s="77"/>
      <c r="AX932" s="137"/>
      <c r="AY932" s="138"/>
      <c r="AZ932" s="220">
        <f t="shared" si="56"/>
        <v>0</v>
      </c>
      <c r="BA932" s="220">
        <f t="shared" si="57"/>
        <v>0</v>
      </c>
    </row>
    <row r="933" spans="1:53" ht="50.1" customHeight="1" x14ac:dyDescent="0.25">
      <c r="A933" s="17">
        <f t="shared" si="58"/>
        <v>919</v>
      </c>
      <c r="B933" s="228"/>
      <c r="C933" s="221"/>
      <c r="D933" s="88"/>
      <c r="E933" s="100"/>
      <c r="F933" s="95"/>
      <c r="G933" s="114"/>
      <c r="H933" s="96"/>
      <c r="I933" s="97"/>
      <c r="J933" s="98"/>
      <c r="K933" s="101"/>
      <c r="L933" s="124"/>
      <c r="M933" s="333"/>
      <c r="N933" s="341"/>
      <c r="O933" s="82"/>
      <c r="P933" s="93"/>
      <c r="Q933" s="82"/>
      <c r="R933" s="93"/>
      <c r="S933" s="298"/>
      <c r="T933" s="304"/>
      <c r="U933" s="307"/>
      <c r="V933" s="309"/>
      <c r="W933" s="248"/>
      <c r="X933" s="342"/>
      <c r="Y933" s="336"/>
      <c r="Z933" s="123"/>
      <c r="AA933" s="33"/>
      <c r="AB933" s="123"/>
      <c r="AC933" s="33"/>
      <c r="AD933" s="123"/>
      <c r="AE933" s="33"/>
      <c r="AF933" s="123"/>
      <c r="AG933" s="243"/>
      <c r="AH933" s="33"/>
      <c r="AI933" s="245"/>
      <c r="AJ933" s="125"/>
      <c r="AK933" s="91"/>
      <c r="AL933" s="126"/>
      <c r="AM933" s="91"/>
      <c r="AN933" s="91"/>
      <c r="AO933" s="197">
        <f t="shared" si="59"/>
        <v>0</v>
      </c>
      <c r="AP933" s="126"/>
      <c r="AQ933" s="216"/>
      <c r="AR933" s="127"/>
      <c r="AS933" s="269"/>
      <c r="AT933" s="94"/>
      <c r="AU933" s="84"/>
      <c r="AV933" s="80"/>
      <c r="AW933" s="81"/>
      <c r="AX933" s="77"/>
      <c r="AY933" s="107"/>
      <c r="AZ933" s="220">
        <f t="shared" si="56"/>
        <v>0</v>
      </c>
      <c r="BA933" s="220">
        <f t="shared" si="57"/>
        <v>0</v>
      </c>
    </row>
    <row r="934" spans="1:53" ht="50.1" customHeight="1" x14ac:dyDescent="0.25">
      <c r="A934" s="17">
        <f t="shared" si="58"/>
        <v>920</v>
      </c>
      <c r="B934" s="229"/>
      <c r="C934" s="222"/>
      <c r="D934" s="112"/>
      <c r="E934" s="128"/>
      <c r="F934" s="129"/>
      <c r="G934" s="130"/>
      <c r="H934" s="131"/>
      <c r="I934" s="132"/>
      <c r="J934" s="108"/>
      <c r="K934" s="133"/>
      <c r="L934" s="134"/>
      <c r="M934" s="334"/>
      <c r="N934" s="343"/>
      <c r="O934" s="135"/>
      <c r="P934" s="82"/>
      <c r="Q934" s="135"/>
      <c r="R934" s="82"/>
      <c r="S934" s="299"/>
      <c r="T934" s="305"/>
      <c r="U934" s="298"/>
      <c r="V934" s="304"/>
      <c r="W934" s="249"/>
      <c r="X934" s="344"/>
      <c r="Y934" s="337"/>
      <c r="Z934" s="33"/>
      <c r="AA934" s="83"/>
      <c r="AB934" s="33"/>
      <c r="AC934" s="83"/>
      <c r="AD934" s="33"/>
      <c r="AE934" s="83"/>
      <c r="AF934" s="33"/>
      <c r="AG934" s="244"/>
      <c r="AH934" s="83"/>
      <c r="AI934" s="246"/>
      <c r="AJ934" s="102"/>
      <c r="AK934" s="92"/>
      <c r="AL934" s="91"/>
      <c r="AM934" s="92"/>
      <c r="AN934" s="351"/>
      <c r="AO934" s="197">
        <f t="shared" si="59"/>
        <v>0</v>
      </c>
      <c r="AP934" s="91"/>
      <c r="AQ934" s="217"/>
      <c r="AR934" s="103"/>
      <c r="AS934" s="264"/>
      <c r="AT934" s="94"/>
      <c r="AU934" s="84"/>
      <c r="AV934" s="136"/>
      <c r="AW934" s="77"/>
      <c r="AX934" s="137"/>
      <c r="AY934" s="138"/>
      <c r="AZ934" s="220">
        <f t="shared" si="56"/>
        <v>0</v>
      </c>
      <c r="BA934" s="220">
        <f t="shared" si="57"/>
        <v>0</v>
      </c>
    </row>
    <row r="935" spans="1:53" ht="50.1" customHeight="1" x14ac:dyDescent="0.25">
      <c r="A935" s="17">
        <f t="shared" si="58"/>
        <v>921</v>
      </c>
      <c r="B935" s="228"/>
      <c r="C935" s="221"/>
      <c r="D935" s="88"/>
      <c r="E935" s="100"/>
      <c r="F935" s="95"/>
      <c r="G935" s="114"/>
      <c r="H935" s="96"/>
      <c r="I935" s="97"/>
      <c r="J935" s="98"/>
      <c r="K935" s="101"/>
      <c r="L935" s="124"/>
      <c r="M935" s="333"/>
      <c r="N935" s="341"/>
      <c r="O935" s="82"/>
      <c r="P935" s="93"/>
      <c r="Q935" s="82"/>
      <c r="R935" s="93"/>
      <c r="S935" s="298"/>
      <c r="T935" s="304"/>
      <c r="U935" s="307"/>
      <c r="V935" s="309"/>
      <c r="W935" s="248"/>
      <c r="X935" s="342"/>
      <c r="Y935" s="336"/>
      <c r="Z935" s="123"/>
      <c r="AA935" s="33"/>
      <c r="AB935" s="123"/>
      <c r="AC935" s="33"/>
      <c r="AD935" s="123"/>
      <c r="AE935" s="33"/>
      <c r="AF935" s="123"/>
      <c r="AG935" s="243"/>
      <c r="AH935" s="33"/>
      <c r="AI935" s="245"/>
      <c r="AJ935" s="125"/>
      <c r="AK935" s="91"/>
      <c r="AL935" s="126"/>
      <c r="AM935" s="91"/>
      <c r="AN935" s="91"/>
      <c r="AO935" s="197">
        <f t="shared" si="59"/>
        <v>0</v>
      </c>
      <c r="AP935" s="126"/>
      <c r="AQ935" s="216"/>
      <c r="AR935" s="127"/>
      <c r="AS935" s="269"/>
      <c r="AT935" s="94"/>
      <c r="AU935" s="84"/>
      <c r="AV935" s="80"/>
      <c r="AW935" s="81"/>
      <c r="AX935" s="77"/>
      <c r="AY935" s="107"/>
      <c r="AZ935" s="220">
        <f t="shared" si="56"/>
        <v>0</v>
      </c>
      <c r="BA935" s="220">
        <f t="shared" si="57"/>
        <v>0</v>
      </c>
    </row>
    <row r="936" spans="1:53" ht="50.1" customHeight="1" x14ac:dyDescent="0.25">
      <c r="A936" s="17">
        <f t="shared" si="58"/>
        <v>922</v>
      </c>
      <c r="B936" s="229"/>
      <c r="C936" s="222"/>
      <c r="D936" s="112"/>
      <c r="E936" s="128"/>
      <c r="F936" s="129"/>
      <c r="G936" s="130"/>
      <c r="H936" s="131"/>
      <c r="I936" s="132"/>
      <c r="J936" s="108"/>
      <c r="K936" s="133"/>
      <c r="L936" s="134"/>
      <c r="M936" s="334"/>
      <c r="N936" s="343"/>
      <c r="O936" s="135"/>
      <c r="P936" s="82"/>
      <c r="Q936" s="135"/>
      <c r="R936" s="82"/>
      <c r="S936" s="299"/>
      <c r="T936" s="305"/>
      <c r="U936" s="298"/>
      <c r="V936" s="304"/>
      <c r="W936" s="249"/>
      <c r="X936" s="344"/>
      <c r="Y936" s="337"/>
      <c r="Z936" s="33"/>
      <c r="AA936" s="83"/>
      <c r="AB936" s="33"/>
      <c r="AC936" s="83"/>
      <c r="AD936" s="33"/>
      <c r="AE936" s="83"/>
      <c r="AF936" s="33"/>
      <c r="AG936" s="244"/>
      <c r="AH936" s="83"/>
      <c r="AI936" s="246"/>
      <c r="AJ936" s="102"/>
      <c r="AK936" s="92"/>
      <c r="AL936" s="91"/>
      <c r="AM936" s="92"/>
      <c r="AN936" s="351"/>
      <c r="AO936" s="197">
        <f t="shared" si="59"/>
        <v>0</v>
      </c>
      <c r="AP936" s="91"/>
      <c r="AQ936" s="217"/>
      <c r="AR936" s="103"/>
      <c r="AS936" s="264"/>
      <c r="AT936" s="94"/>
      <c r="AU936" s="84"/>
      <c r="AV936" s="136"/>
      <c r="AW936" s="77"/>
      <c r="AX936" s="137"/>
      <c r="AY936" s="138"/>
      <c r="AZ936" s="220">
        <f t="shared" si="56"/>
        <v>0</v>
      </c>
      <c r="BA936" s="220">
        <f t="shared" si="57"/>
        <v>0</v>
      </c>
    </row>
    <row r="937" spans="1:53" ht="50.1" customHeight="1" x14ac:dyDescent="0.25">
      <c r="A937" s="17">
        <f t="shared" si="58"/>
        <v>923</v>
      </c>
      <c r="B937" s="228"/>
      <c r="C937" s="221"/>
      <c r="D937" s="88"/>
      <c r="E937" s="100"/>
      <c r="F937" s="95"/>
      <c r="G937" s="114"/>
      <c r="H937" s="96"/>
      <c r="I937" s="97"/>
      <c r="J937" s="98"/>
      <c r="K937" s="101"/>
      <c r="L937" s="124"/>
      <c r="M937" s="333"/>
      <c r="N937" s="341"/>
      <c r="O937" s="82"/>
      <c r="P937" s="93"/>
      <c r="Q937" s="82"/>
      <c r="R937" s="93"/>
      <c r="S937" s="298"/>
      <c r="T937" s="304"/>
      <c r="U937" s="307"/>
      <c r="V937" s="309"/>
      <c r="W937" s="248"/>
      <c r="X937" s="342"/>
      <c r="Y937" s="336"/>
      <c r="Z937" s="123"/>
      <c r="AA937" s="33"/>
      <c r="AB937" s="123"/>
      <c r="AC937" s="33"/>
      <c r="AD937" s="123"/>
      <c r="AE937" s="33"/>
      <c r="AF937" s="123"/>
      <c r="AG937" s="243"/>
      <c r="AH937" s="33"/>
      <c r="AI937" s="245"/>
      <c r="AJ937" s="125"/>
      <c r="AK937" s="91"/>
      <c r="AL937" s="126"/>
      <c r="AM937" s="91"/>
      <c r="AN937" s="91"/>
      <c r="AO937" s="197">
        <f t="shared" si="59"/>
        <v>0</v>
      </c>
      <c r="AP937" s="126"/>
      <c r="AQ937" s="216"/>
      <c r="AR937" s="127"/>
      <c r="AS937" s="269"/>
      <c r="AT937" s="94"/>
      <c r="AU937" s="84"/>
      <c r="AV937" s="80"/>
      <c r="AW937" s="81"/>
      <c r="AX937" s="77"/>
      <c r="AY937" s="107"/>
      <c r="AZ937" s="220">
        <f t="shared" si="56"/>
        <v>0</v>
      </c>
      <c r="BA937" s="220">
        <f t="shared" si="57"/>
        <v>0</v>
      </c>
    </row>
    <row r="938" spans="1:53" ht="50.1" customHeight="1" x14ac:dyDescent="0.25">
      <c r="A938" s="17">
        <f t="shared" si="58"/>
        <v>924</v>
      </c>
      <c r="B938" s="229"/>
      <c r="C938" s="222"/>
      <c r="D938" s="112"/>
      <c r="E938" s="128"/>
      <c r="F938" s="129"/>
      <c r="G938" s="130"/>
      <c r="H938" s="131"/>
      <c r="I938" s="132"/>
      <c r="J938" s="108"/>
      <c r="K938" s="133"/>
      <c r="L938" s="134"/>
      <c r="M938" s="334"/>
      <c r="N938" s="343"/>
      <c r="O938" s="135"/>
      <c r="P938" s="82"/>
      <c r="Q938" s="135"/>
      <c r="R938" s="82"/>
      <c r="S938" s="299"/>
      <c r="T938" s="305"/>
      <c r="U938" s="298"/>
      <c r="V938" s="304"/>
      <c r="W938" s="249"/>
      <c r="X938" s="344"/>
      <c r="Y938" s="337"/>
      <c r="Z938" s="33"/>
      <c r="AA938" s="83"/>
      <c r="AB938" s="33"/>
      <c r="AC938" s="83"/>
      <c r="AD938" s="33"/>
      <c r="AE938" s="83"/>
      <c r="AF938" s="33"/>
      <c r="AG938" s="244"/>
      <c r="AH938" s="83"/>
      <c r="AI938" s="246"/>
      <c r="AJ938" s="102"/>
      <c r="AK938" s="92"/>
      <c r="AL938" s="91"/>
      <c r="AM938" s="92"/>
      <c r="AN938" s="351"/>
      <c r="AO938" s="197">
        <f t="shared" si="59"/>
        <v>0</v>
      </c>
      <c r="AP938" s="91"/>
      <c r="AQ938" s="217"/>
      <c r="AR938" s="103"/>
      <c r="AS938" s="264"/>
      <c r="AT938" s="94"/>
      <c r="AU938" s="84"/>
      <c r="AV938" s="136"/>
      <c r="AW938" s="77"/>
      <c r="AX938" s="137"/>
      <c r="AY938" s="138"/>
      <c r="AZ938" s="220">
        <f t="shared" si="56"/>
        <v>0</v>
      </c>
      <c r="BA938" s="220">
        <f t="shared" si="57"/>
        <v>0</v>
      </c>
    </row>
    <row r="939" spans="1:53" ht="50.1" customHeight="1" x14ac:dyDescent="0.25">
      <c r="A939" s="17">
        <f t="shared" si="58"/>
        <v>925</v>
      </c>
      <c r="B939" s="228"/>
      <c r="C939" s="221"/>
      <c r="D939" s="88"/>
      <c r="E939" s="100"/>
      <c r="F939" s="95"/>
      <c r="G939" s="114"/>
      <c r="H939" s="96"/>
      <c r="I939" s="97"/>
      <c r="J939" s="98"/>
      <c r="K939" s="101"/>
      <c r="L939" s="124"/>
      <c r="M939" s="333"/>
      <c r="N939" s="341"/>
      <c r="O939" s="82"/>
      <c r="P939" s="93"/>
      <c r="Q939" s="82"/>
      <c r="R939" s="93"/>
      <c r="S939" s="298"/>
      <c r="T939" s="304"/>
      <c r="U939" s="307"/>
      <c r="V939" s="309"/>
      <c r="W939" s="248"/>
      <c r="X939" s="342"/>
      <c r="Y939" s="336"/>
      <c r="Z939" s="123"/>
      <c r="AA939" s="33"/>
      <c r="AB939" s="123"/>
      <c r="AC939" s="33"/>
      <c r="AD939" s="123"/>
      <c r="AE939" s="33"/>
      <c r="AF939" s="123"/>
      <c r="AG939" s="243"/>
      <c r="AH939" s="33"/>
      <c r="AI939" s="245"/>
      <c r="AJ939" s="125"/>
      <c r="AK939" s="91"/>
      <c r="AL939" s="126"/>
      <c r="AM939" s="91"/>
      <c r="AN939" s="91"/>
      <c r="AO939" s="197">
        <f t="shared" si="59"/>
        <v>0</v>
      </c>
      <c r="AP939" s="126"/>
      <c r="AQ939" s="216"/>
      <c r="AR939" s="127"/>
      <c r="AS939" s="269"/>
      <c r="AT939" s="94"/>
      <c r="AU939" s="84"/>
      <c r="AV939" s="80"/>
      <c r="AW939" s="81"/>
      <c r="AX939" s="77"/>
      <c r="AY939" s="107"/>
      <c r="AZ939" s="220">
        <f t="shared" si="56"/>
        <v>0</v>
      </c>
      <c r="BA939" s="220">
        <f t="shared" si="57"/>
        <v>0</v>
      </c>
    </row>
    <row r="940" spans="1:53" ht="50.1" customHeight="1" x14ac:dyDescent="0.25">
      <c r="A940" s="17">
        <f t="shared" si="58"/>
        <v>926</v>
      </c>
      <c r="B940" s="229"/>
      <c r="C940" s="222"/>
      <c r="D940" s="112"/>
      <c r="E940" s="128"/>
      <c r="F940" s="129"/>
      <c r="G940" s="130"/>
      <c r="H940" s="131"/>
      <c r="I940" s="132"/>
      <c r="J940" s="108"/>
      <c r="K940" s="133"/>
      <c r="L940" s="134"/>
      <c r="M940" s="334"/>
      <c r="N940" s="343"/>
      <c r="O940" s="135"/>
      <c r="P940" s="82"/>
      <c r="Q940" s="135"/>
      <c r="R940" s="82"/>
      <c r="S940" s="299"/>
      <c r="T940" s="305"/>
      <c r="U940" s="298"/>
      <c r="V940" s="304"/>
      <c r="W940" s="249"/>
      <c r="X940" s="344"/>
      <c r="Y940" s="337"/>
      <c r="Z940" s="33"/>
      <c r="AA940" s="83"/>
      <c r="AB940" s="33"/>
      <c r="AC940" s="83"/>
      <c r="AD940" s="33"/>
      <c r="AE940" s="83"/>
      <c r="AF940" s="33"/>
      <c r="AG940" s="244"/>
      <c r="AH940" s="83"/>
      <c r="AI940" s="246"/>
      <c r="AJ940" s="102"/>
      <c r="AK940" s="92"/>
      <c r="AL940" s="91"/>
      <c r="AM940" s="92"/>
      <c r="AN940" s="351"/>
      <c r="AO940" s="197">
        <f t="shared" si="59"/>
        <v>0</v>
      </c>
      <c r="AP940" s="91"/>
      <c r="AQ940" s="217"/>
      <c r="AR940" s="103"/>
      <c r="AS940" s="264"/>
      <c r="AT940" s="94"/>
      <c r="AU940" s="84"/>
      <c r="AV940" s="136"/>
      <c r="AW940" s="77"/>
      <c r="AX940" s="137"/>
      <c r="AY940" s="138"/>
      <c r="AZ940" s="220">
        <f t="shared" si="56"/>
        <v>0</v>
      </c>
      <c r="BA940" s="220">
        <f t="shared" si="57"/>
        <v>0</v>
      </c>
    </row>
    <row r="941" spans="1:53" ht="50.1" customHeight="1" x14ac:dyDescent="0.25">
      <c r="A941" s="17">
        <f t="shared" si="58"/>
        <v>927</v>
      </c>
      <c r="B941" s="228"/>
      <c r="C941" s="221"/>
      <c r="D941" s="88"/>
      <c r="E941" s="100"/>
      <c r="F941" s="95"/>
      <c r="G941" s="114"/>
      <c r="H941" s="96"/>
      <c r="I941" s="97"/>
      <c r="J941" s="98"/>
      <c r="K941" s="101"/>
      <c r="L941" s="124"/>
      <c r="M941" s="333"/>
      <c r="N941" s="341"/>
      <c r="O941" s="82"/>
      <c r="P941" s="93"/>
      <c r="Q941" s="82"/>
      <c r="R941" s="93"/>
      <c r="S941" s="298"/>
      <c r="T941" s="304"/>
      <c r="U941" s="307"/>
      <c r="V941" s="309"/>
      <c r="W941" s="248"/>
      <c r="X941" s="342"/>
      <c r="Y941" s="336"/>
      <c r="Z941" s="123"/>
      <c r="AA941" s="33"/>
      <c r="AB941" s="123"/>
      <c r="AC941" s="33"/>
      <c r="AD941" s="123"/>
      <c r="AE941" s="33"/>
      <c r="AF941" s="123"/>
      <c r="AG941" s="243"/>
      <c r="AH941" s="33"/>
      <c r="AI941" s="245"/>
      <c r="AJ941" s="125"/>
      <c r="AK941" s="91"/>
      <c r="AL941" s="126"/>
      <c r="AM941" s="91"/>
      <c r="AN941" s="91"/>
      <c r="AO941" s="197">
        <f t="shared" si="59"/>
        <v>0</v>
      </c>
      <c r="AP941" s="126"/>
      <c r="AQ941" s="216"/>
      <c r="AR941" s="127"/>
      <c r="AS941" s="269"/>
      <c r="AT941" s="94"/>
      <c r="AU941" s="84"/>
      <c r="AV941" s="80"/>
      <c r="AW941" s="81"/>
      <c r="AX941" s="77"/>
      <c r="AY941" s="107"/>
      <c r="AZ941" s="220">
        <f t="shared" si="56"/>
        <v>0</v>
      </c>
      <c r="BA941" s="220">
        <f t="shared" si="57"/>
        <v>0</v>
      </c>
    </row>
    <row r="942" spans="1:53" ht="50.1" customHeight="1" x14ac:dyDescent="0.25">
      <c r="A942" s="17">
        <f t="shared" si="58"/>
        <v>928</v>
      </c>
      <c r="B942" s="229"/>
      <c r="C942" s="222"/>
      <c r="D942" s="112"/>
      <c r="E942" s="128"/>
      <c r="F942" s="129"/>
      <c r="G942" s="130"/>
      <c r="H942" s="131"/>
      <c r="I942" s="132"/>
      <c r="J942" s="108"/>
      <c r="K942" s="133"/>
      <c r="L942" s="134"/>
      <c r="M942" s="334"/>
      <c r="N942" s="343"/>
      <c r="O942" s="135"/>
      <c r="P942" s="82"/>
      <c r="Q942" s="135"/>
      <c r="R942" s="82"/>
      <c r="S942" s="299"/>
      <c r="T942" s="305"/>
      <c r="U942" s="298"/>
      <c r="V942" s="304"/>
      <c r="W942" s="249"/>
      <c r="X942" s="344"/>
      <c r="Y942" s="337"/>
      <c r="Z942" s="33"/>
      <c r="AA942" s="83"/>
      <c r="AB942" s="33"/>
      <c r="AC942" s="83"/>
      <c r="AD942" s="33"/>
      <c r="AE942" s="83"/>
      <c r="AF942" s="33"/>
      <c r="AG942" s="244"/>
      <c r="AH942" s="83"/>
      <c r="AI942" s="246"/>
      <c r="AJ942" s="102"/>
      <c r="AK942" s="92"/>
      <c r="AL942" s="91"/>
      <c r="AM942" s="92"/>
      <c r="AN942" s="351"/>
      <c r="AO942" s="197">
        <f t="shared" si="59"/>
        <v>0</v>
      </c>
      <c r="AP942" s="91"/>
      <c r="AQ942" s="217"/>
      <c r="AR942" s="103"/>
      <c r="AS942" s="264"/>
      <c r="AT942" s="94"/>
      <c r="AU942" s="84"/>
      <c r="AV942" s="136"/>
      <c r="AW942" s="77"/>
      <c r="AX942" s="137"/>
      <c r="AY942" s="138"/>
      <c r="AZ942" s="220">
        <f t="shared" si="56"/>
        <v>0</v>
      </c>
      <c r="BA942" s="220">
        <f t="shared" si="57"/>
        <v>0</v>
      </c>
    </row>
    <row r="943" spans="1:53" ht="50.1" customHeight="1" x14ac:dyDescent="0.25">
      <c r="A943" s="17">
        <f t="shared" si="58"/>
        <v>929</v>
      </c>
      <c r="B943" s="228"/>
      <c r="C943" s="221"/>
      <c r="D943" s="88"/>
      <c r="E943" s="100"/>
      <c r="F943" s="95"/>
      <c r="G943" s="114"/>
      <c r="H943" s="96"/>
      <c r="I943" s="97"/>
      <c r="J943" s="98"/>
      <c r="K943" s="101"/>
      <c r="L943" s="124"/>
      <c r="M943" s="333"/>
      <c r="N943" s="341"/>
      <c r="O943" s="82"/>
      <c r="P943" s="93"/>
      <c r="Q943" s="82"/>
      <c r="R943" s="93"/>
      <c r="S943" s="298"/>
      <c r="T943" s="304"/>
      <c r="U943" s="307"/>
      <c r="V943" s="309"/>
      <c r="W943" s="248"/>
      <c r="X943" s="342"/>
      <c r="Y943" s="336"/>
      <c r="Z943" s="123"/>
      <c r="AA943" s="33"/>
      <c r="AB943" s="123"/>
      <c r="AC943" s="33"/>
      <c r="AD943" s="123"/>
      <c r="AE943" s="33"/>
      <c r="AF943" s="123"/>
      <c r="AG943" s="243"/>
      <c r="AH943" s="33"/>
      <c r="AI943" s="245"/>
      <c r="AJ943" s="125"/>
      <c r="AK943" s="91"/>
      <c r="AL943" s="126"/>
      <c r="AM943" s="91"/>
      <c r="AN943" s="91"/>
      <c r="AO943" s="197">
        <f t="shared" si="59"/>
        <v>0</v>
      </c>
      <c r="AP943" s="126"/>
      <c r="AQ943" s="216"/>
      <c r="AR943" s="127"/>
      <c r="AS943" s="269"/>
      <c r="AT943" s="94"/>
      <c r="AU943" s="84"/>
      <c r="AV943" s="80"/>
      <c r="AW943" s="81"/>
      <c r="AX943" s="77"/>
      <c r="AY943" s="107"/>
      <c r="AZ943" s="220">
        <f t="shared" si="56"/>
        <v>0</v>
      </c>
      <c r="BA943" s="220">
        <f t="shared" si="57"/>
        <v>0</v>
      </c>
    </row>
    <row r="944" spans="1:53" ht="50.1" customHeight="1" x14ac:dyDescent="0.25">
      <c r="A944" s="17">
        <f t="shared" si="58"/>
        <v>930</v>
      </c>
      <c r="B944" s="229"/>
      <c r="C944" s="222"/>
      <c r="D944" s="112"/>
      <c r="E944" s="128"/>
      <c r="F944" s="129"/>
      <c r="G944" s="130"/>
      <c r="H944" s="131"/>
      <c r="I944" s="132"/>
      <c r="J944" s="108"/>
      <c r="K944" s="133"/>
      <c r="L944" s="134"/>
      <c r="M944" s="334"/>
      <c r="N944" s="343"/>
      <c r="O944" s="135"/>
      <c r="P944" s="82"/>
      <c r="Q944" s="135"/>
      <c r="R944" s="82"/>
      <c r="S944" s="299"/>
      <c r="T944" s="305"/>
      <c r="U944" s="298"/>
      <c r="V944" s="304"/>
      <c r="W944" s="249"/>
      <c r="X944" s="344"/>
      <c r="Y944" s="337"/>
      <c r="Z944" s="33"/>
      <c r="AA944" s="83"/>
      <c r="AB944" s="33"/>
      <c r="AC944" s="83"/>
      <c r="AD944" s="33"/>
      <c r="AE944" s="83"/>
      <c r="AF944" s="33"/>
      <c r="AG944" s="244"/>
      <c r="AH944" s="83"/>
      <c r="AI944" s="246"/>
      <c r="AJ944" s="102"/>
      <c r="AK944" s="92"/>
      <c r="AL944" s="91"/>
      <c r="AM944" s="92"/>
      <c r="AN944" s="351"/>
      <c r="AO944" s="197">
        <f t="shared" si="59"/>
        <v>0</v>
      </c>
      <c r="AP944" s="91"/>
      <c r="AQ944" s="217"/>
      <c r="AR944" s="103"/>
      <c r="AS944" s="264"/>
      <c r="AT944" s="94"/>
      <c r="AU944" s="84"/>
      <c r="AV944" s="136"/>
      <c r="AW944" s="77"/>
      <c r="AX944" s="137"/>
      <c r="AY944" s="138"/>
      <c r="AZ944" s="220">
        <f t="shared" si="56"/>
        <v>0</v>
      </c>
      <c r="BA944" s="220">
        <f t="shared" si="57"/>
        <v>0</v>
      </c>
    </row>
    <row r="945" spans="1:53" ht="50.1" customHeight="1" x14ac:dyDescent="0.25">
      <c r="A945" s="17">
        <f t="shared" si="58"/>
        <v>931</v>
      </c>
      <c r="B945" s="228"/>
      <c r="C945" s="221"/>
      <c r="D945" s="88"/>
      <c r="E945" s="100"/>
      <c r="F945" s="95"/>
      <c r="G945" s="114"/>
      <c r="H945" s="96"/>
      <c r="I945" s="97"/>
      <c r="J945" s="98"/>
      <c r="K945" s="101"/>
      <c r="L945" s="124"/>
      <c r="M945" s="333"/>
      <c r="N945" s="341"/>
      <c r="O945" s="82"/>
      <c r="P945" s="93"/>
      <c r="Q945" s="82"/>
      <c r="R945" s="93"/>
      <c r="S945" s="298"/>
      <c r="T945" s="304"/>
      <c r="U945" s="307"/>
      <c r="V945" s="309"/>
      <c r="W945" s="248"/>
      <c r="X945" s="342"/>
      <c r="Y945" s="336"/>
      <c r="Z945" s="123"/>
      <c r="AA945" s="33"/>
      <c r="AB945" s="123"/>
      <c r="AC945" s="33"/>
      <c r="AD945" s="123"/>
      <c r="AE945" s="33"/>
      <c r="AF945" s="123"/>
      <c r="AG945" s="243"/>
      <c r="AH945" s="33"/>
      <c r="AI945" s="245"/>
      <c r="AJ945" s="125"/>
      <c r="AK945" s="91"/>
      <c r="AL945" s="126"/>
      <c r="AM945" s="91"/>
      <c r="AN945" s="91"/>
      <c r="AO945" s="197">
        <f t="shared" si="59"/>
        <v>0</v>
      </c>
      <c r="AP945" s="126"/>
      <c r="AQ945" s="216"/>
      <c r="AR945" s="127"/>
      <c r="AS945" s="269"/>
      <c r="AT945" s="94"/>
      <c r="AU945" s="84"/>
      <c r="AV945" s="80"/>
      <c r="AW945" s="81"/>
      <c r="AX945" s="77"/>
      <c r="AY945" s="107"/>
      <c r="AZ945" s="220">
        <f t="shared" si="56"/>
        <v>0</v>
      </c>
      <c r="BA945" s="220">
        <f t="shared" si="57"/>
        <v>0</v>
      </c>
    </row>
    <row r="946" spans="1:53" ht="50.1" customHeight="1" x14ac:dyDescent="0.25">
      <c r="A946" s="17">
        <f t="shared" si="58"/>
        <v>932</v>
      </c>
      <c r="B946" s="229"/>
      <c r="C946" s="222"/>
      <c r="D946" s="112"/>
      <c r="E946" s="128"/>
      <c r="F946" s="129"/>
      <c r="G946" s="130"/>
      <c r="H946" s="131"/>
      <c r="I946" s="132"/>
      <c r="J946" s="108"/>
      <c r="K946" s="133"/>
      <c r="L946" s="134"/>
      <c r="M946" s="334"/>
      <c r="N946" s="343"/>
      <c r="O946" s="135"/>
      <c r="P946" s="82"/>
      <c r="Q946" s="135"/>
      <c r="R946" s="82"/>
      <c r="S946" s="299"/>
      <c r="T946" s="305"/>
      <c r="U946" s="298"/>
      <c r="V946" s="304"/>
      <c r="W946" s="249"/>
      <c r="X946" s="344"/>
      <c r="Y946" s="337"/>
      <c r="Z946" s="33"/>
      <c r="AA946" s="83"/>
      <c r="AB946" s="33"/>
      <c r="AC946" s="83"/>
      <c r="AD946" s="33"/>
      <c r="AE946" s="83"/>
      <c r="AF946" s="33"/>
      <c r="AG946" s="244"/>
      <c r="AH946" s="83"/>
      <c r="AI946" s="246"/>
      <c r="AJ946" s="102"/>
      <c r="AK946" s="92"/>
      <c r="AL946" s="91"/>
      <c r="AM946" s="92"/>
      <c r="AN946" s="351"/>
      <c r="AO946" s="197">
        <f t="shared" si="59"/>
        <v>0</v>
      </c>
      <c r="AP946" s="91"/>
      <c r="AQ946" s="217"/>
      <c r="AR946" s="103"/>
      <c r="AS946" s="264"/>
      <c r="AT946" s="94"/>
      <c r="AU946" s="84"/>
      <c r="AV946" s="136"/>
      <c r="AW946" s="77"/>
      <c r="AX946" s="137"/>
      <c r="AY946" s="138"/>
      <c r="AZ946" s="220">
        <f t="shared" si="56"/>
        <v>0</v>
      </c>
      <c r="BA946" s="220">
        <f t="shared" si="57"/>
        <v>0</v>
      </c>
    </row>
    <row r="947" spans="1:53" ht="50.1" customHeight="1" x14ac:dyDescent="0.25">
      <c r="A947" s="17">
        <f t="shared" si="58"/>
        <v>933</v>
      </c>
      <c r="B947" s="228"/>
      <c r="C947" s="221"/>
      <c r="D947" s="88"/>
      <c r="E947" s="100"/>
      <c r="F947" s="95"/>
      <c r="G947" s="114"/>
      <c r="H947" s="96"/>
      <c r="I947" s="97"/>
      <c r="J947" s="98"/>
      <c r="K947" s="101"/>
      <c r="L947" s="124"/>
      <c r="M947" s="333"/>
      <c r="N947" s="341"/>
      <c r="O947" s="82"/>
      <c r="P947" s="93"/>
      <c r="Q947" s="82"/>
      <c r="R947" s="93"/>
      <c r="S947" s="298"/>
      <c r="T947" s="304"/>
      <c r="U947" s="307"/>
      <c r="V947" s="309"/>
      <c r="W947" s="248"/>
      <c r="X947" s="342"/>
      <c r="Y947" s="336"/>
      <c r="Z947" s="123"/>
      <c r="AA947" s="33"/>
      <c r="AB947" s="123"/>
      <c r="AC947" s="33"/>
      <c r="AD947" s="123"/>
      <c r="AE947" s="33"/>
      <c r="AF947" s="123"/>
      <c r="AG947" s="243"/>
      <c r="AH947" s="33"/>
      <c r="AI947" s="245"/>
      <c r="AJ947" s="125"/>
      <c r="AK947" s="91"/>
      <c r="AL947" s="126"/>
      <c r="AM947" s="91"/>
      <c r="AN947" s="91"/>
      <c r="AO947" s="197">
        <f t="shared" si="59"/>
        <v>0</v>
      </c>
      <c r="AP947" s="126"/>
      <c r="AQ947" s="216"/>
      <c r="AR947" s="127"/>
      <c r="AS947" s="269"/>
      <c r="AT947" s="94"/>
      <c r="AU947" s="84"/>
      <c r="AV947" s="80"/>
      <c r="AW947" s="81"/>
      <c r="AX947" s="77"/>
      <c r="AY947" s="107"/>
      <c r="AZ947" s="220">
        <f t="shared" si="56"/>
        <v>0</v>
      </c>
      <c r="BA947" s="220">
        <f t="shared" si="57"/>
        <v>0</v>
      </c>
    </row>
    <row r="948" spans="1:53" ht="50.1" customHeight="1" x14ac:dyDescent="0.25">
      <c r="A948" s="17">
        <f t="shared" si="58"/>
        <v>934</v>
      </c>
      <c r="B948" s="229"/>
      <c r="C948" s="222"/>
      <c r="D948" s="112"/>
      <c r="E948" s="128"/>
      <c r="F948" s="129"/>
      <c r="G948" s="130"/>
      <c r="H948" s="131"/>
      <c r="I948" s="132"/>
      <c r="J948" s="108"/>
      <c r="K948" s="133"/>
      <c r="L948" s="134"/>
      <c r="M948" s="334"/>
      <c r="N948" s="343"/>
      <c r="O948" s="135"/>
      <c r="P948" s="82"/>
      <c r="Q948" s="135"/>
      <c r="R948" s="82"/>
      <c r="S948" s="299"/>
      <c r="T948" s="305"/>
      <c r="U948" s="298"/>
      <c r="V948" s="304"/>
      <c r="W948" s="249"/>
      <c r="X948" s="344"/>
      <c r="Y948" s="337"/>
      <c r="Z948" s="33"/>
      <c r="AA948" s="83"/>
      <c r="AB948" s="33"/>
      <c r="AC948" s="83"/>
      <c r="AD948" s="33"/>
      <c r="AE948" s="83"/>
      <c r="AF948" s="33"/>
      <c r="AG948" s="244"/>
      <c r="AH948" s="83"/>
      <c r="AI948" s="246"/>
      <c r="AJ948" s="102"/>
      <c r="AK948" s="92"/>
      <c r="AL948" s="91"/>
      <c r="AM948" s="92"/>
      <c r="AN948" s="351"/>
      <c r="AO948" s="197">
        <f t="shared" si="59"/>
        <v>0</v>
      </c>
      <c r="AP948" s="91"/>
      <c r="AQ948" s="217"/>
      <c r="AR948" s="103"/>
      <c r="AS948" s="264"/>
      <c r="AT948" s="94"/>
      <c r="AU948" s="84"/>
      <c r="AV948" s="136"/>
      <c r="AW948" s="77"/>
      <c r="AX948" s="137"/>
      <c r="AY948" s="138"/>
      <c r="AZ948" s="220">
        <f t="shared" si="56"/>
        <v>0</v>
      </c>
      <c r="BA948" s="220">
        <f t="shared" si="57"/>
        <v>0</v>
      </c>
    </row>
    <row r="949" spans="1:53" ht="50.1" customHeight="1" x14ac:dyDescent="0.25">
      <c r="A949" s="17">
        <f t="shared" si="58"/>
        <v>935</v>
      </c>
      <c r="B949" s="228"/>
      <c r="C949" s="221"/>
      <c r="D949" s="88"/>
      <c r="E949" s="100"/>
      <c r="F949" s="95"/>
      <c r="G949" s="114"/>
      <c r="H949" s="96"/>
      <c r="I949" s="97"/>
      <c r="J949" s="98"/>
      <c r="K949" s="101"/>
      <c r="L949" s="124"/>
      <c r="M949" s="333"/>
      <c r="N949" s="341"/>
      <c r="O949" s="82"/>
      <c r="P949" s="93"/>
      <c r="Q949" s="82"/>
      <c r="R949" s="93"/>
      <c r="S949" s="298"/>
      <c r="T949" s="304"/>
      <c r="U949" s="307"/>
      <c r="V949" s="309"/>
      <c r="W949" s="248"/>
      <c r="X949" s="342"/>
      <c r="Y949" s="336"/>
      <c r="Z949" s="123"/>
      <c r="AA949" s="33"/>
      <c r="AB949" s="123"/>
      <c r="AC949" s="33"/>
      <c r="AD949" s="123"/>
      <c r="AE949" s="33"/>
      <c r="AF949" s="123"/>
      <c r="AG949" s="243"/>
      <c r="AH949" s="33"/>
      <c r="AI949" s="245"/>
      <c r="AJ949" s="125"/>
      <c r="AK949" s="91"/>
      <c r="AL949" s="126"/>
      <c r="AM949" s="91"/>
      <c r="AN949" s="91"/>
      <c r="AO949" s="197">
        <f t="shared" si="59"/>
        <v>0</v>
      </c>
      <c r="AP949" s="126"/>
      <c r="AQ949" s="216"/>
      <c r="AR949" s="127"/>
      <c r="AS949" s="269"/>
      <c r="AT949" s="94"/>
      <c r="AU949" s="84"/>
      <c r="AV949" s="80"/>
      <c r="AW949" s="81"/>
      <c r="AX949" s="77"/>
      <c r="AY949" s="107"/>
      <c r="AZ949" s="220">
        <f t="shared" si="56"/>
        <v>0</v>
      </c>
      <c r="BA949" s="220">
        <f t="shared" si="57"/>
        <v>0</v>
      </c>
    </row>
    <row r="950" spans="1:53" ht="50.1" customHeight="1" x14ac:dyDescent="0.25">
      <c r="A950" s="17">
        <f t="shared" si="58"/>
        <v>936</v>
      </c>
      <c r="B950" s="229"/>
      <c r="C950" s="222"/>
      <c r="D950" s="112"/>
      <c r="E950" s="128"/>
      <c r="F950" s="129"/>
      <c r="G950" s="130"/>
      <c r="H950" s="131"/>
      <c r="I950" s="132"/>
      <c r="J950" s="108"/>
      <c r="K950" s="133"/>
      <c r="L950" s="134"/>
      <c r="M950" s="334"/>
      <c r="N950" s="343"/>
      <c r="O950" s="135"/>
      <c r="P950" s="82"/>
      <c r="Q950" s="135"/>
      <c r="R950" s="82"/>
      <c r="S950" s="299"/>
      <c r="T950" s="305"/>
      <c r="U950" s="298"/>
      <c r="V950" s="304"/>
      <c r="W950" s="249"/>
      <c r="X950" s="344"/>
      <c r="Y950" s="337"/>
      <c r="Z950" s="33"/>
      <c r="AA950" s="83"/>
      <c r="AB950" s="33"/>
      <c r="AC950" s="83"/>
      <c r="AD950" s="33"/>
      <c r="AE950" s="83"/>
      <c r="AF950" s="33"/>
      <c r="AG950" s="244"/>
      <c r="AH950" s="83"/>
      <c r="AI950" s="246"/>
      <c r="AJ950" s="102"/>
      <c r="AK950" s="92"/>
      <c r="AL950" s="91"/>
      <c r="AM950" s="92"/>
      <c r="AN950" s="351"/>
      <c r="AO950" s="197">
        <f t="shared" si="59"/>
        <v>0</v>
      </c>
      <c r="AP950" s="91"/>
      <c r="AQ950" s="217"/>
      <c r="AR950" s="103"/>
      <c r="AS950" s="264"/>
      <c r="AT950" s="94"/>
      <c r="AU950" s="84"/>
      <c r="AV950" s="136"/>
      <c r="AW950" s="77"/>
      <c r="AX950" s="137"/>
      <c r="AY950" s="138"/>
      <c r="AZ950" s="220">
        <f t="shared" si="56"/>
        <v>0</v>
      </c>
      <c r="BA950" s="220">
        <f t="shared" si="57"/>
        <v>0</v>
      </c>
    </row>
    <row r="951" spans="1:53" ht="50.1" customHeight="1" x14ac:dyDescent="0.25">
      <c r="A951" s="17">
        <f t="shared" si="58"/>
        <v>937</v>
      </c>
      <c r="B951" s="228"/>
      <c r="C951" s="221"/>
      <c r="D951" s="88"/>
      <c r="E951" s="100"/>
      <c r="F951" s="95"/>
      <c r="G951" s="114"/>
      <c r="H951" s="96"/>
      <c r="I951" s="97"/>
      <c r="J951" s="98"/>
      <c r="K951" s="101"/>
      <c r="L951" s="124"/>
      <c r="M951" s="333"/>
      <c r="N951" s="341"/>
      <c r="O951" s="82"/>
      <c r="P951" s="93"/>
      <c r="Q951" s="82"/>
      <c r="R951" s="93"/>
      <c r="S951" s="298"/>
      <c r="T951" s="304"/>
      <c r="U951" s="307"/>
      <c r="V951" s="309"/>
      <c r="W951" s="248"/>
      <c r="X951" s="342"/>
      <c r="Y951" s="336"/>
      <c r="Z951" s="123"/>
      <c r="AA951" s="33"/>
      <c r="AB951" s="123"/>
      <c r="AC951" s="33"/>
      <c r="AD951" s="123"/>
      <c r="AE951" s="33"/>
      <c r="AF951" s="123"/>
      <c r="AG951" s="243"/>
      <c r="AH951" s="33"/>
      <c r="AI951" s="245"/>
      <c r="AJ951" s="125"/>
      <c r="AK951" s="91"/>
      <c r="AL951" s="126"/>
      <c r="AM951" s="91"/>
      <c r="AN951" s="91"/>
      <c r="AO951" s="197">
        <f t="shared" si="59"/>
        <v>0</v>
      </c>
      <c r="AP951" s="126"/>
      <c r="AQ951" s="216"/>
      <c r="AR951" s="127"/>
      <c r="AS951" s="269"/>
      <c r="AT951" s="94"/>
      <c r="AU951" s="84"/>
      <c r="AV951" s="80"/>
      <c r="AW951" s="81"/>
      <c r="AX951" s="77"/>
      <c r="AY951" s="107"/>
      <c r="AZ951" s="220">
        <f t="shared" si="56"/>
        <v>0</v>
      </c>
      <c r="BA951" s="220">
        <f t="shared" si="57"/>
        <v>0</v>
      </c>
    </row>
    <row r="952" spans="1:53" ht="50.1" customHeight="1" x14ac:dyDescent="0.25">
      <c r="A952" s="17">
        <f t="shared" si="58"/>
        <v>938</v>
      </c>
      <c r="B952" s="229"/>
      <c r="C952" s="222"/>
      <c r="D952" s="112"/>
      <c r="E952" s="128"/>
      <c r="F952" s="129"/>
      <c r="G952" s="130"/>
      <c r="H952" s="131"/>
      <c r="I952" s="132"/>
      <c r="J952" s="108"/>
      <c r="K952" s="133"/>
      <c r="L952" s="134"/>
      <c r="M952" s="334"/>
      <c r="N952" s="343"/>
      <c r="O952" s="135"/>
      <c r="P952" s="82"/>
      <c r="Q952" s="135"/>
      <c r="R952" s="82"/>
      <c r="S952" s="299"/>
      <c r="T952" s="305"/>
      <c r="U952" s="298"/>
      <c r="V952" s="304"/>
      <c r="W952" s="249"/>
      <c r="X952" s="344"/>
      <c r="Y952" s="337"/>
      <c r="Z952" s="33"/>
      <c r="AA952" s="83"/>
      <c r="AB952" s="33"/>
      <c r="AC952" s="83"/>
      <c r="AD952" s="33"/>
      <c r="AE952" s="83"/>
      <c r="AF952" s="33"/>
      <c r="AG952" s="244"/>
      <c r="AH952" s="83"/>
      <c r="AI952" s="246"/>
      <c r="AJ952" s="102"/>
      <c r="AK952" s="92"/>
      <c r="AL952" s="91"/>
      <c r="AM952" s="92"/>
      <c r="AN952" s="351"/>
      <c r="AO952" s="197">
        <f t="shared" si="59"/>
        <v>0</v>
      </c>
      <c r="AP952" s="91"/>
      <c r="AQ952" s="217"/>
      <c r="AR952" s="103"/>
      <c r="AS952" s="264"/>
      <c r="AT952" s="94"/>
      <c r="AU952" s="84"/>
      <c r="AV952" s="136"/>
      <c r="AW952" s="77"/>
      <c r="AX952" s="137"/>
      <c r="AY952" s="138"/>
      <c r="AZ952" s="220">
        <f t="shared" si="56"/>
        <v>0</v>
      </c>
      <c r="BA952" s="220">
        <f t="shared" si="57"/>
        <v>0</v>
      </c>
    </row>
    <row r="953" spans="1:53" ht="50.1" customHeight="1" x14ac:dyDescent="0.25">
      <c r="A953" s="17">
        <f t="shared" si="58"/>
        <v>939</v>
      </c>
      <c r="B953" s="228"/>
      <c r="C953" s="221"/>
      <c r="D953" s="88"/>
      <c r="E953" s="100"/>
      <c r="F953" s="95"/>
      <c r="G953" s="114"/>
      <c r="H953" s="96"/>
      <c r="I953" s="97"/>
      <c r="J953" s="98"/>
      <c r="K953" s="101"/>
      <c r="L953" s="124"/>
      <c r="M953" s="333"/>
      <c r="N953" s="341"/>
      <c r="O953" s="82"/>
      <c r="P953" s="93"/>
      <c r="Q953" s="82"/>
      <c r="R953" s="93"/>
      <c r="S953" s="298"/>
      <c r="T953" s="304"/>
      <c r="U953" s="307"/>
      <c r="V953" s="309"/>
      <c r="W953" s="248"/>
      <c r="X953" s="342"/>
      <c r="Y953" s="336"/>
      <c r="Z953" s="123"/>
      <c r="AA953" s="33"/>
      <c r="AB953" s="123"/>
      <c r="AC953" s="33"/>
      <c r="AD953" s="123"/>
      <c r="AE953" s="33"/>
      <c r="AF953" s="123"/>
      <c r="AG953" s="243"/>
      <c r="AH953" s="33"/>
      <c r="AI953" s="245"/>
      <c r="AJ953" s="125"/>
      <c r="AK953" s="91"/>
      <c r="AL953" s="126"/>
      <c r="AM953" s="91"/>
      <c r="AN953" s="91"/>
      <c r="AO953" s="197">
        <f t="shared" si="59"/>
        <v>0</v>
      </c>
      <c r="AP953" s="126"/>
      <c r="AQ953" s="216"/>
      <c r="AR953" s="127"/>
      <c r="AS953" s="269"/>
      <c r="AT953" s="94"/>
      <c r="AU953" s="84"/>
      <c r="AV953" s="80"/>
      <c r="AW953" s="81"/>
      <c r="AX953" s="77"/>
      <c r="AY953" s="107"/>
      <c r="AZ953" s="220">
        <f t="shared" si="56"/>
        <v>0</v>
      </c>
      <c r="BA953" s="220">
        <f t="shared" si="57"/>
        <v>0</v>
      </c>
    </row>
    <row r="954" spans="1:53" ht="50.1" customHeight="1" x14ac:dyDescent="0.25">
      <c r="A954" s="17">
        <f t="shared" si="58"/>
        <v>940</v>
      </c>
      <c r="B954" s="229"/>
      <c r="C954" s="222"/>
      <c r="D954" s="112"/>
      <c r="E954" s="128"/>
      <c r="F954" s="129"/>
      <c r="G954" s="130"/>
      <c r="H954" s="131"/>
      <c r="I954" s="132"/>
      <c r="J954" s="108"/>
      <c r="K954" s="133"/>
      <c r="L954" s="134"/>
      <c r="M954" s="334"/>
      <c r="N954" s="343"/>
      <c r="O954" s="135"/>
      <c r="P954" s="82"/>
      <c r="Q954" s="135"/>
      <c r="R954" s="82"/>
      <c r="S954" s="299"/>
      <c r="T954" s="305"/>
      <c r="U954" s="298"/>
      <c r="V954" s="304"/>
      <c r="W954" s="249"/>
      <c r="X954" s="344"/>
      <c r="Y954" s="337"/>
      <c r="Z954" s="33"/>
      <c r="AA954" s="83"/>
      <c r="AB954" s="33"/>
      <c r="AC954" s="83"/>
      <c r="AD954" s="33"/>
      <c r="AE954" s="83"/>
      <c r="AF954" s="33"/>
      <c r="AG954" s="244"/>
      <c r="AH954" s="83"/>
      <c r="AI954" s="246"/>
      <c r="AJ954" s="102"/>
      <c r="AK954" s="92"/>
      <c r="AL954" s="91"/>
      <c r="AM954" s="92"/>
      <c r="AN954" s="351"/>
      <c r="AO954" s="197">
        <f t="shared" si="59"/>
        <v>0</v>
      </c>
      <c r="AP954" s="91"/>
      <c r="AQ954" s="217"/>
      <c r="AR954" s="103"/>
      <c r="AS954" s="264"/>
      <c r="AT954" s="94"/>
      <c r="AU954" s="84"/>
      <c r="AV954" s="136"/>
      <c r="AW954" s="77"/>
      <c r="AX954" s="137"/>
      <c r="AY954" s="138"/>
      <c r="AZ954" s="220">
        <f t="shared" si="56"/>
        <v>0</v>
      </c>
      <c r="BA954" s="220">
        <f t="shared" si="57"/>
        <v>0</v>
      </c>
    </row>
    <row r="955" spans="1:53" ht="50.1" customHeight="1" x14ac:dyDescent="0.25">
      <c r="A955" s="17">
        <f t="shared" si="58"/>
        <v>941</v>
      </c>
      <c r="B955" s="228"/>
      <c r="C955" s="221"/>
      <c r="D955" s="88"/>
      <c r="E955" s="100"/>
      <c r="F955" s="95"/>
      <c r="G955" s="114"/>
      <c r="H955" s="96"/>
      <c r="I955" s="97"/>
      <c r="J955" s="98"/>
      <c r="K955" s="101"/>
      <c r="L955" s="124"/>
      <c r="M955" s="333"/>
      <c r="N955" s="341"/>
      <c r="O955" s="82"/>
      <c r="P955" s="93"/>
      <c r="Q955" s="82"/>
      <c r="R955" s="93"/>
      <c r="S955" s="298"/>
      <c r="T955" s="304"/>
      <c r="U955" s="307"/>
      <c r="V955" s="309"/>
      <c r="W955" s="248"/>
      <c r="X955" s="342"/>
      <c r="Y955" s="336"/>
      <c r="Z955" s="123"/>
      <c r="AA955" s="33"/>
      <c r="AB955" s="123"/>
      <c r="AC955" s="33"/>
      <c r="AD955" s="123"/>
      <c r="AE955" s="33"/>
      <c r="AF955" s="123"/>
      <c r="AG955" s="243"/>
      <c r="AH955" s="33"/>
      <c r="AI955" s="245"/>
      <c r="AJ955" s="125"/>
      <c r="AK955" s="91"/>
      <c r="AL955" s="126"/>
      <c r="AM955" s="91"/>
      <c r="AN955" s="91"/>
      <c r="AO955" s="197">
        <f t="shared" si="59"/>
        <v>0</v>
      </c>
      <c r="AP955" s="126"/>
      <c r="AQ955" s="216"/>
      <c r="AR955" s="127"/>
      <c r="AS955" s="269"/>
      <c r="AT955" s="94"/>
      <c r="AU955" s="84"/>
      <c r="AV955" s="80"/>
      <c r="AW955" s="81"/>
      <c r="AX955" s="77"/>
      <c r="AY955" s="107"/>
      <c r="AZ955" s="220">
        <f t="shared" si="56"/>
        <v>0</v>
      </c>
      <c r="BA955" s="220">
        <f t="shared" si="57"/>
        <v>0</v>
      </c>
    </row>
    <row r="956" spans="1:53" ht="50.1" customHeight="1" x14ac:dyDescent="0.25">
      <c r="A956" s="17">
        <f t="shared" si="58"/>
        <v>942</v>
      </c>
      <c r="B956" s="229"/>
      <c r="C956" s="222"/>
      <c r="D956" s="112"/>
      <c r="E956" s="128"/>
      <c r="F956" s="129"/>
      <c r="G956" s="130"/>
      <c r="H956" s="131"/>
      <c r="I956" s="132"/>
      <c r="J956" s="108"/>
      <c r="K956" s="133"/>
      <c r="L956" s="134"/>
      <c r="M956" s="334"/>
      <c r="N956" s="343"/>
      <c r="O956" s="135"/>
      <c r="P956" s="82"/>
      <c r="Q956" s="135"/>
      <c r="R956" s="82"/>
      <c r="S956" s="299"/>
      <c r="T956" s="305"/>
      <c r="U956" s="298"/>
      <c r="V956" s="304"/>
      <c r="W956" s="249"/>
      <c r="X956" s="344"/>
      <c r="Y956" s="337"/>
      <c r="Z956" s="33"/>
      <c r="AA956" s="83"/>
      <c r="AB956" s="33"/>
      <c r="AC956" s="83"/>
      <c r="AD956" s="33"/>
      <c r="AE956" s="83"/>
      <c r="AF956" s="33"/>
      <c r="AG956" s="244"/>
      <c r="AH956" s="83"/>
      <c r="AI956" s="246"/>
      <c r="AJ956" s="102"/>
      <c r="AK956" s="92"/>
      <c r="AL956" s="91"/>
      <c r="AM956" s="92"/>
      <c r="AN956" s="351"/>
      <c r="AO956" s="197">
        <f t="shared" si="59"/>
        <v>0</v>
      </c>
      <c r="AP956" s="91"/>
      <c r="AQ956" s="217"/>
      <c r="AR956" s="103"/>
      <c r="AS956" s="264"/>
      <c r="AT956" s="94"/>
      <c r="AU956" s="84"/>
      <c r="AV956" s="136"/>
      <c r="AW956" s="77"/>
      <c r="AX956" s="137"/>
      <c r="AY956" s="138"/>
      <c r="AZ956" s="220">
        <f t="shared" si="56"/>
        <v>0</v>
      </c>
      <c r="BA956" s="220">
        <f t="shared" si="57"/>
        <v>0</v>
      </c>
    </row>
    <row r="957" spans="1:53" ht="50.1" customHeight="1" x14ac:dyDescent="0.25">
      <c r="A957" s="17">
        <f t="shared" si="58"/>
        <v>943</v>
      </c>
      <c r="B957" s="228"/>
      <c r="C957" s="221"/>
      <c r="D957" s="88"/>
      <c r="E957" s="100"/>
      <c r="F957" s="95"/>
      <c r="G957" s="114"/>
      <c r="H957" s="96"/>
      <c r="I957" s="97"/>
      <c r="J957" s="98"/>
      <c r="K957" s="101"/>
      <c r="L957" s="124"/>
      <c r="M957" s="333"/>
      <c r="N957" s="341"/>
      <c r="O957" s="82"/>
      <c r="P957" s="93"/>
      <c r="Q957" s="82"/>
      <c r="R957" s="93"/>
      <c r="S957" s="298"/>
      <c r="T957" s="304"/>
      <c r="U957" s="307"/>
      <c r="V957" s="309"/>
      <c r="W957" s="248"/>
      <c r="X957" s="342"/>
      <c r="Y957" s="336"/>
      <c r="Z957" s="123"/>
      <c r="AA957" s="33"/>
      <c r="AB957" s="123"/>
      <c r="AC957" s="33"/>
      <c r="AD957" s="123"/>
      <c r="AE957" s="33"/>
      <c r="AF957" s="123"/>
      <c r="AG957" s="243"/>
      <c r="AH957" s="33"/>
      <c r="AI957" s="245"/>
      <c r="AJ957" s="125"/>
      <c r="AK957" s="91"/>
      <c r="AL957" s="126"/>
      <c r="AM957" s="91"/>
      <c r="AN957" s="91"/>
      <c r="AO957" s="197">
        <f t="shared" si="59"/>
        <v>0</v>
      </c>
      <c r="AP957" s="126"/>
      <c r="AQ957" s="216"/>
      <c r="AR957" s="127"/>
      <c r="AS957" s="269"/>
      <c r="AT957" s="94"/>
      <c r="AU957" s="84"/>
      <c r="AV957" s="80"/>
      <c r="AW957" s="81"/>
      <c r="AX957" s="77"/>
      <c r="AY957" s="107"/>
      <c r="AZ957" s="220">
        <f t="shared" si="56"/>
        <v>0</v>
      </c>
      <c r="BA957" s="220">
        <f t="shared" si="57"/>
        <v>0</v>
      </c>
    </row>
    <row r="958" spans="1:53" ht="50.1" customHeight="1" x14ac:dyDescent="0.25">
      <c r="A958" s="17">
        <f t="shared" si="58"/>
        <v>944</v>
      </c>
      <c r="B958" s="229"/>
      <c r="C958" s="222"/>
      <c r="D958" s="112"/>
      <c r="E958" s="128"/>
      <c r="F958" s="129"/>
      <c r="G958" s="130"/>
      <c r="H958" s="131"/>
      <c r="I958" s="132"/>
      <c r="J958" s="108"/>
      <c r="K958" s="133"/>
      <c r="L958" s="134"/>
      <c r="M958" s="334"/>
      <c r="N958" s="343"/>
      <c r="O958" s="135"/>
      <c r="P958" s="82"/>
      <c r="Q958" s="135"/>
      <c r="R958" s="82"/>
      <c r="S958" s="299"/>
      <c r="T958" s="305"/>
      <c r="U958" s="298"/>
      <c r="V958" s="304"/>
      <c r="W958" s="249"/>
      <c r="X958" s="344"/>
      <c r="Y958" s="337"/>
      <c r="Z958" s="33"/>
      <c r="AA958" s="83"/>
      <c r="AB958" s="33"/>
      <c r="AC958" s="83"/>
      <c r="AD958" s="33"/>
      <c r="AE958" s="83"/>
      <c r="AF958" s="33"/>
      <c r="AG958" s="244"/>
      <c r="AH958" s="83"/>
      <c r="AI958" s="246"/>
      <c r="AJ958" s="102"/>
      <c r="AK958" s="92"/>
      <c r="AL958" s="91"/>
      <c r="AM958" s="92"/>
      <c r="AN958" s="351"/>
      <c r="AO958" s="197">
        <f t="shared" si="59"/>
        <v>0</v>
      </c>
      <c r="AP958" s="91"/>
      <c r="AQ958" s="217"/>
      <c r="AR958" s="103"/>
      <c r="AS958" s="264"/>
      <c r="AT958" s="94"/>
      <c r="AU958" s="84"/>
      <c r="AV958" s="136"/>
      <c r="AW958" s="77"/>
      <c r="AX958" s="137"/>
      <c r="AY958" s="138"/>
      <c r="AZ958" s="220">
        <f t="shared" si="56"/>
        <v>0</v>
      </c>
      <c r="BA958" s="220">
        <f t="shared" si="57"/>
        <v>0</v>
      </c>
    </row>
    <row r="959" spans="1:53" ht="50.1" customHeight="1" x14ac:dyDescent="0.25">
      <c r="A959" s="17">
        <f t="shared" si="58"/>
        <v>945</v>
      </c>
      <c r="B959" s="228"/>
      <c r="C959" s="221"/>
      <c r="D959" s="88"/>
      <c r="E959" s="100"/>
      <c r="F959" s="95"/>
      <c r="G959" s="114"/>
      <c r="H959" s="96"/>
      <c r="I959" s="97"/>
      <c r="J959" s="98"/>
      <c r="K959" s="101"/>
      <c r="L959" s="124"/>
      <c r="M959" s="333"/>
      <c r="N959" s="341"/>
      <c r="O959" s="82"/>
      <c r="P959" s="93"/>
      <c r="Q959" s="82"/>
      <c r="R959" s="93"/>
      <c r="S959" s="298"/>
      <c r="T959" s="304"/>
      <c r="U959" s="307"/>
      <c r="V959" s="309"/>
      <c r="W959" s="248"/>
      <c r="X959" s="342"/>
      <c r="Y959" s="336"/>
      <c r="Z959" s="123"/>
      <c r="AA959" s="33"/>
      <c r="AB959" s="123"/>
      <c r="AC959" s="33"/>
      <c r="AD959" s="123"/>
      <c r="AE959" s="33"/>
      <c r="AF959" s="123"/>
      <c r="AG959" s="243"/>
      <c r="AH959" s="33"/>
      <c r="AI959" s="245"/>
      <c r="AJ959" s="125"/>
      <c r="AK959" s="91"/>
      <c r="AL959" s="126"/>
      <c r="AM959" s="91"/>
      <c r="AN959" s="91"/>
      <c r="AO959" s="197">
        <f t="shared" si="59"/>
        <v>0</v>
      </c>
      <c r="AP959" s="126"/>
      <c r="AQ959" s="216"/>
      <c r="AR959" s="127"/>
      <c r="AS959" s="269"/>
      <c r="AT959" s="94"/>
      <c r="AU959" s="84"/>
      <c r="AV959" s="80"/>
      <c r="AW959" s="81"/>
      <c r="AX959" s="77"/>
      <c r="AY959" s="107"/>
      <c r="AZ959" s="220">
        <f t="shared" si="56"/>
        <v>0</v>
      </c>
      <c r="BA959" s="220">
        <f t="shared" si="57"/>
        <v>0</v>
      </c>
    </row>
    <row r="960" spans="1:53" ht="50.1" customHeight="1" x14ac:dyDescent="0.25">
      <c r="A960" s="17">
        <f t="shared" si="58"/>
        <v>946</v>
      </c>
      <c r="B960" s="229"/>
      <c r="C960" s="222"/>
      <c r="D960" s="112"/>
      <c r="E960" s="128"/>
      <c r="F960" s="129"/>
      <c r="G960" s="130"/>
      <c r="H960" s="131"/>
      <c r="I960" s="132"/>
      <c r="J960" s="108"/>
      <c r="K960" s="133"/>
      <c r="L960" s="134"/>
      <c r="M960" s="334"/>
      <c r="N960" s="343"/>
      <c r="O960" s="135"/>
      <c r="P960" s="82"/>
      <c r="Q960" s="135"/>
      <c r="R960" s="82"/>
      <c r="S960" s="299"/>
      <c r="T960" s="305"/>
      <c r="U960" s="298"/>
      <c r="V960" s="304"/>
      <c r="W960" s="249"/>
      <c r="X960" s="344"/>
      <c r="Y960" s="337"/>
      <c r="Z960" s="33"/>
      <c r="AA960" s="83"/>
      <c r="AB960" s="33"/>
      <c r="AC960" s="83"/>
      <c r="AD960" s="33"/>
      <c r="AE960" s="83"/>
      <c r="AF960" s="33"/>
      <c r="AG960" s="244"/>
      <c r="AH960" s="83"/>
      <c r="AI960" s="246"/>
      <c r="AJ960" s="102"/>
      <c r="AK960" s="92"/>
      <c r="AL960" s="91"/>
      <c r="AM960" s="92"/>
      <c r="AN960" s="351"/>
      <c r="AO960" s="197">
        <f t="shared" si="59"/>
        <v>0</v>
      </c>
      <c r="AP960" s="91"/>
      <c r="AQ960" s="217"/>
      <c r="AR960" s="103"/>
      <c r="AS960" s="264"/>
      <c r="AT960" s="94"/>
      <c r="AU960" s="84"/>
      <c r="AV960" s="136"/>
      <c r="AW960" s="77"/>
      <c r="AX960" s="137"/>
      <c r="AY960" s="138"/>
      <c r="AZ960" s="220">
        <f t="shared" si="56"/>
        <v>0</v>
      </c>
      <c r="BA960" s="220">
        <f t="shared" si="57"/>
        <v>0</v>
      </c>
    </row>
    <row r="961" spans="1:53" ht="50.1" customHeight="1" x14ac:dyDescent="0.25">
      <c r="A961" s="17">
        <f t="shared" si="58"/>
        <v>947</v>
      </c>
      <c r="B961" s="228"/>
      <c r="C961" s="221"/>
      <c r="D961" s="88"/>
      <c r="E961" s="100"/>
      <c r="F961" s="95"/>
      <c r="G961" s="114"/>
      <c r="H961" s="96"/>
      <c r="I961" s="97"/>
      <c r="J961" s="98"/>
      <c r="K961" s="101"/>
      <c r="L961" s="124"/>
      <c r="M961" s="333"/>
      <c r="N961" s="341"/>
      <c r="O961" s="82"/>
      <c r="P961" s="93"/>
      <c r="Q961" s="82"/>
      <c r="R961" s="93"/>
      <c r="S961" s="298"/>
      <c r="T961" s="304"/>
      <c r="U961" s="307"/>
      <c r="V961" s="309"/>
      <c r="W961" s="248"/>
      <c r="X961" s="342"/>
      <c r="Y961" s="336"/>
      <c r="Z961" s="123"/>
      <c r="AA961" s="33"/>
      <c r="AB961" s="123"/>
      <c r="AC961" s="33"/>
      <c r="AD961" s="123"/>
      <c r="AE961" s="33"/>
      <c r="AF961" s="123"/>
      <c r="AG961" s="243"/>
      <c r="AH961" s="33"/>
      <c r="AI961" s="245"/>
      <c r="AJ961" s="125"/>
      <c r="AK961" s="91"/>
      <c r="AL961" s="126"/>
      <c r="AM961" s="91"/>
      <c r="AN961" s="91"/>
      <c r="AO961" s="197">
        <f t="shared" si="59"/>
        <v>0</v>
      </c>
      <c r="AP961" s="126"/>
      <c r="AQ961" s="216"/>
      <c r="AR961" s="127"/>
      <c r="AS961" s="269"/>
      <c r="AT961" s="94"/>
      <c r="AU961" s="84"/>
      <c r="AV961" s="80"/>
      <c r="AW961" s="81"/>
      <c r="AX961" s="77"/>
      <c r="AY961" s="107"/>
      <c r="AZ961" s="220">
        <f t="shared" si="56"/>
        <v>0</v>
      </c>
      <c r="BA961" s="220">
        <f t="shared" si="57"/>
        <v>0</v>
      </c>
    </row>
    <row r="962" spans="1:53" ht="50.1" customHeight="1" x14ac:dyDescent="0.25">
      <c r="A962" s="17">
        <f t="shared" si="58"/>
        <v>948</v>
      </c>
      <c r="B962" s="229"/>
      <c r="C962" s="222"/>
      <c r="D962" s="112"/>
      <c r="E962" s="128"/>
      <c r="F962" s="129"/>
      <c r="G962" s="130"/>
      <c r="H962" s="131"/>
      <c r="I962" s="132"/>
      <c r="J962" s="108"/>
      <c r="K962" s="133"/>
      <c r="L962" s="134"/>
      <c r="M962" s="334"/>
      <c r="N962" s="343"/>
      <c r="O962" s="135"/>
      <c r="P962" s="82"/>
      <c r="Q962" s="135"/>
      <c r="R962" s="82"/>
      <c r="S962" s="299"/>
      <c r="T962" s="305"/>
      <c r="U962" s="298"/>
      <c r="V962" s="304"/>
      <c r="W962" s="249"/>
      <c r="X962" s="344"/>
      <c r="Y962" s="337"/>
      <c r="Z962" s="33"/>
      <c r="AA962" s="83"/>
      <c r="AB962" s="33"/>
      <c r="AC962" s="83"/>
      <c r="AD962" s="33"/>
      <c r="AE962" s="83"/>
      <c r="AF962" s="33"/>
      <c r="AG962" s="244"/>
      <c r="AH962" s="83"/>
      <c r="AI962" s="246"/>
      <c r="AJ962" s="102"/>
      <c r="AK962" s="92"/>
      <c r="AL962" s="91"/>
      <c r="AM962" s="92"/>
      <c r="AN962" s="351"/>
      <c r="AO962" s="197">
        <f t="shared" si="59"/>
        <v>0</v>
      </c>
      <c r="AP962" s="91"/>
      <c r="AQ962" s="217"/>
      <c r="AR962" s="103"/>
      <c r="AS962" s="264"/>
      <c r="AT962" s="94"/>
      <c r="AU962" s="84"/>
      <c r="AV962" s="136"/>
      <c r="AW962" s="77"/>
      <c r="AX962" s="137"/>
      <c r="AY962" s="138"/>
      <c r="AZ962" s="220">
        <f t="shared" si="56"/>
        <v>0</v>
      </c>
      <c r="BA962" s="220">
        <f t="shared" si="57"/>
        <v>0</v>
      </c>
    </row>
    <row r="963" spans="1:53" ht="50.1" customHeight="1" x14ac:dyDescent="0.25">
      <c r="A963" s="17">
        <f t="shared" si="58"/>
        <v>949</v>
      </c>
      <c r="B963" s="228"/>
      <c r="C963" s="221"/>
      <c r="D963" s="88"/>
      <c r="E963" s="100"/>
      <c r="F963" s="95"/>
      <c r="G963" s="114"/>
      <c r="H963" s="96"/>
      <c r="I963" s="97"/>
      <c r="J963" s="98"/>
      <c r="K963" s="101"/>
      <c r="L963" s="124"/>
      <c r="M963" s="333"/>
      <c r="N963" s="341"/>
      <c r="O963" s="82"/>
      <c r="P963" s="93"/>
      <c r="Q963" s="82"/>
      <c r="R963" s="93"/>
      <c r="S963" s="298"/>
      <c r="T963" s="304"/>
      <c r="U963" s="307"/>
      <c r="V963" s="309"/>
      <c r="W963" s="248"/>
      <c r="X963" s="342"/>
      <c r="Y963" s="336"/>
      <c r="Z963" s="123"/>
      <c r="AA963" s="33"/>
      <c r="AB963" s="123"/>
      <c r="AC963" s="33"/>
      <c r="AD963" s="123"/>
      <c r="AE963" s="33"/>
      <c r="AF963" s="123"/>
      <c r="AG963" s="243"/>
      <c r="AH963" s="33"/>
      <c r="AI963" s="245"/>
      <c r="AJ963" s="125"/>
      <c r="AK963" s="91"/>
      <c r="AL963" s="126"/>
      <c r="AM963" s="91"/>
      <c r="AN963" s="91"/>
      <c r="AO963" s="197">
        <f t="shared" si="59"/>
        <v>0</v>
      </c>
      <c r="AP963" s="126"/>
      <c r="AQ963" s="216"/>
      <c r="AR963" s="127"/>
      <c r="AS963" s="269"/>
      <c r="AT963" s="94"/>
      <c r="AU963" s="84"/>
      <c r="AV963" s="80"/>
      <c r="AW963" s="81"/>
      <c r="AX963" s="77"/>
      <c r="AY963" s="107"/>
      <c r="AZ963" s="220">
        <f t="shared" si="56"/>
        <v>0</v>
      </c>
      <c r="BA963" s="220">
        <f t="shared" si="57"/>
        <v>0</v>
      </c>
    </row>
    <row r="964" spans="1:53" ht="50.1" customHeight="1" x14ac:dyDescent="0.25">
      <c r="A964" s="17">
        <f t="shared" si="58"/>
        <v>950</v>
      </c>
      <c r="B964" s="229"/>
      <c r="C964" s="222"/>
      <c r="D964" s="112"/>
      <c r="E964" s="128"/>
      <c r="F964" s="129"/>
      <c r="G964" s="130"/>
      <c r="H964" s="131"/>
      <c r="I964" s="132"/>
      <c r="J964" s="108"/>
      <c r="K964" s="133"/>
      <c r="L964" s="134"/>
      <c r="M964" s="334"/>
      <c r="N964" s="343"/>
      <c r="O964" s="135"/>
      <c r="P964" s="82"/>
      <c r="Q964" s="135"/>
      <c r="R964" s="82"/>
      <c r="S964" s="299"/>
      <c r="T964" s="305"/>
      <c r="U964" s="298"/>
      <c r="V964" s="304"/>
      <c r="W964" s="249"/>
      <c r="X964" s="344"/>
      <c r="Y964" s="337"/>
      <c r="Z964" s="33"/>
      <c r="AA964" s="83"/>
      <c r="AB964" s="33"/>
      <c r="AC964" s="83"/>
      <c r="AD964" s="33"/>
      <c r="AE964" s="83"/>
      <c r="AF964" s="33"/>
      <c r="AG964" s="244"/>
      <c r="AH964" s="83"/>
      <c r="AI964" s="246"/>
      <c r="AJ964" s="102"/>
      <c r="AK964" s="92"/>
      <c r="AL964" s="91"/>
      <c r="AM964" s="92"/>
      <c r="AN964" s="351"/>
      <c r="AO964" s="197">
        <f t="shared" si="59"/>
        <v>0</v>
      </c>
      <c r="AP964" s="91"/>
      <c r="AQ964" s="217"/>
      <c r="AR964" s="103"/>
      <c r="AS964" s="264"/>
      <c r="AT964" s="94"/>
      <c r="AU964" s="84"/>
      <c r="AV964" s="136"/>
      <c r="AW964" s="77"/>
      <c r="AX964" s="137"/>
      <c r="AY964" s="138"/>
      <c r="AZ964" s="220">
        <f t="shared" si="56"/>
        <v>0</v>
      </c>
      <c r="BA964" s="220">
        <f t="shared" si="57"/>
        <v>0</v>
      </c>
    </row>
    <row r="965" spans="1:53" ht="50.1" customHeight="1" x14ac:dyDescent="0.25">
      <c r="A965" s="17">
        <f t="shared" si="58"/>
        <v>951</v>
      </c>
      <c r="B965" s="228"/>
      <c r="C965" s="221"/>
      <c r="D965" s="88"/>
      <c r="E965" s="100"/>
      <c r="F965" s="95"/>
      <c r="G965" s="114"/>
      <c r="H965" s="96"/>
      <c r="I965" s="97"/>
      <c r="J965" s="98"/>
      <c r="K965" s="101"/>
      <c r="L965" s="124"/>
      <c r="M965" s="333"/>
      <c r="N965" s="341"/>
      <c r="O965" s="82"/>
      <c r="P965" s="93"/>
      <c r="Q965" s="82"/>
      <c r="R965" s="93"/>
      <c r="S965" s="298"/>
      <c r="T965" s="304"/>
      <c r="U965" s="307"/>
      <c r="V965" s="309"/>
      <c r="W965" s="248"/>
      <c r="X965" s="342"/>
      <c r="Y965" s="336"/>
      <c r="Z965" s="123"/>
      <c r="AA965" s="33"/>
      <c r="AB965" s="123"/>
      <c r="AC965" s="33"/>
      <c r="AD965" s="123"/>
      <c r="AE965" s="33"/>
      <c r="AF965" s="123"/>
      <c r="AG965" s="243"/>
      <c r="AH965" s="33"/>
      <c r="AI965" s="245"/>
      <c r="AJ965" s="125"/>
      <c r="AK965" s="91"/>
      <c r="AL965" s="126"/>
      <c r="AM965" s="91"/>
      <c r="AN965" s="91"/>
      <c r="AO965" s="197">
        <f t="shared" si="59"/>
        <v>0</v>
      </c>
      <c r="AP965" s="126"/>
      <c r="AQ965" s="216"/>
      <c r="AR965" s="127"/>
      <c r="AS965" s="269"/>
      <c r="AT965" s="94"/>
      <c r="AU965" s="84"/>
      <c r="AV965" s="80"/>
      <c r="AW965" s="81"/>
      <c r="AX965" s="77"/>
      <c r="AY965" s="107"/>
      <c r="AZ965" s="220">
        <f t="shared" si="56"/>
        <v>0</v>
      </c>
      <c r="BA965" s="220">
        <f t="shared" si="57"/>
        <v>0</v>
      </c>
    </row>
    <row r="966" spans="1:53" ht="50.1" customHeight="1" x14ac:dyDescent="0.25">
      <c r="A966" s="17">
        <f t="shared" si="58"/>
        <v>952</v>
      </c>
      <c r="B966" s="229"/>
      <c r="C966" s="222"/>
      <c r="D966" s="112"/>
      <c r="E966" s="128"/>
      <c r="F966" s="129"/>
      <c r="G966" s="130"/>
      <c r="H966" s="131"/>
      <c r="I966" s="132"/>
      <c r="J966" s="108"/>
      <c r="K966" s="133"/>
      <c r="L966" s="134"/>
      <c r="M966" s="334"/>
      <c r="N966" s="343"/>
      <c r="O966" s="135"/>
      <c r="P966" s="82"/>
      <c r="Q966" s="135"/>
      <c r="R966" s="82"/>
      <c r="S966" s="299"/>
      <c r="T966" s="305"/>
      <c r="U966" s="298"/>
      <c r="V966" s="304"/>
      <c r="W966" s="249"/>
      <c r="X966" s="344"/>
      <c r="Y966" s="337"/>
      <c r="Z966" s="33"/>
      <c r="AA966" s="83"/>
      <c r="AB966" s="33"/>
      <c r="AC966" s="83"/>
      <c r="AD966" s="33"/>
      <c r="AE966" s="83"/>
      <c r="AF966" s="33"/>
      <c r="AG966" s="244"/>
      <c r="AH966" s="83"/>
      <c r="AI966" s="246"/>
      <c r="AJ966" s="102"/>
      <c r="AK966" s="92"/>
      <c r="AL966" s="91"/>
      <c r="AM966" s="92"/>
      <c r="AN966" s="351"/>
      <c r="AO966" s="197">
        <f t="shared" si="59"/>
        <v>0</v>
      </c>
      <c r="AP966" s="91"/>
      <c r="AQ966" s="217"/>
      <c r="AR966" s="103"/>
      <c r="AS966" s="264"/>
      <c r="AT966" s="94"/>
      <c r="AU966" s="84"/>
      <c r="AV966" s="136"/>
      <c r="AW966" s="77"/>
      <c r="AX966" s="137"/>
      <c r="AY966" s="138"/>
      <c r="AZ966" s="220">
        <f t="shared" si="56"/>
        <v>0</v>
      </c>
      <c r="BA966" s="220">
        <f t="shared" si="57"/>
        <v>0</v>
      </c>
    </row>
    <row r="967" spans="1:53" ht="50.1" customHeight="1" x14ac:dyDescent="0.25">
      <c r="A967" s="17">
        <f t="shared" si="58"/>
        <v>953</v>
      </c>
      <c r="B967" s="228"/>
      <c r="C967" s="221"/>
      <c r="D967" s="88"/>
      <c r="E967" s="100"/>
      <c r="F967" s="95"/>
      <c r="G967" s="114"/>
      <c r="H967" s="96"/>
      <c r="I967" s="97"/>
      <c r="J967" s="98"/>
      <c r="K967" s="101"/>
      <c r="L967" s="124"/>
      <c r="M967" s="333"/>
      <c r="N967" s="341"/>
      <c r="O967" s="82"/>
      <c r="P967" s="93"/>
      <c r="Q967" s="82"/>
      <c r="R967" s="93"/>
      <c r="S967" s="298"/>
      <c r="T967" s="304"/>
      <c r="U967" s="307"/>
      <c r="V967" s="309"/>
      <c r="W967" s="248"/>
      <c r="X967" s="342"/>
      <c r="Y967" s="336"/>
      <c r="Z967" s="123"/>
      <c r="AA967" s="33"/>
      <c r="AB967" s="123"/>
      <c r="AC967" s="33"/>
      <c r="AD967" s="123"/>
      <c r="AE967" s="33"/>
      <c r="AF967" s="123"/>
      <c r="AG967" s="243"/>
      <c r="AH967" s="33"/>
      <c r="AI967" s="245"/>
      <c r="AJ967" s="125"/>
      <c r="AK967" s="91"/>
      <c r="AL967" s="126"/>
      <c r="AM967" s="91"/>
      <c r="AN967" s="91"/>
      <c r="AO967" s="197">
        <f t="shared" si="59"/>
        <v>0</v>
      </c>
      <c r="AP967" s="126"/>
      <c r="AQ967" s="216"/>
      <c r="AR967" s="127"/>
      <c r="AS967" s="269"/>
      <c r="AT967" s="94"/>
      <c r="AU967" s="84"/>
      <c r="AV967" s="80"/>
      <c r="AW967" s="81"/>
      <c r="AX967" s="77"/>
      <c r="AY967" s="107"/>
      <c r="AZ967" s="220">
        <f t="shared" si="56"/>
        <v>0</v>
      </c>
      <c r="BA967" s="220">
        <f t="shared" si="57"/>
        <v>0</v>
      </c>
    </row>
    <row r="968" spans="1:53" ht="50.1" customHeight="1" x14ac:dyDescent="0.25">
      <c r="A968" s="17">
        <f t="shared" si="58"/>
        <v>954</v>
      </c>
      <c r="B968" s="229"/>
      <c r="C968" s="222"/>
      <c r="D968" s="112"/>
      <c r="E968" s="128"/>
      <c r="F968" s="129"/>
      <c r="G968" s="130"/>
      <c r="H968" s="131"/>
      <c r="I968" s="132"/>
      <c r="J968" s="108"/>
      <c r="K968" s="133"/>
      <c r="L968" s="134"/>
      <c r="M968" s="334"/>
      <c r="N968" s="343"/>
      <c r="O968" s="135"/>
      <c r="P968" s="82"/>
      <c r="Q968" s="135"/>
      <c r="R968" s="82"/>
      <c r="S968" s="299"/>
      <c r="T968" s="305"/>
      <c r="U968" s="298"/>
      <c r="V968" s="304"/>
      <c r="W968" s="249"/>
      <c r="X968" s="344"/>
      <c r="Y968" s="337"/>
      <c r="Z968" s="33"/>
      <c r="AA968" s="83"/>
      <c r="AB968" s="33"/>
      <c r="AC968" s="83"/>
      <c r="AD968" s="33"/>
      <c r="AE968" s="83"/>
      <c r="AF968" s="33"/>
      <c r="AG968" s="244"/>
      <c r="AH968" s="83"/>
      <c r="AI968" s="246"/>
      <c r="AJ968" s="102"/>
      <c r="AK968" s="92"/>
      <c r="AL968" s="91"/>
      <c r="AM968" s="92"/>
      <c r="AN968" s="351"/>
      <c r="AO968" s="197">
        <f t="shared" si="59"/>
        <v>0</v>
      </c>
      <c r="AP968" s="91"/>
      <c r="AQ968" s="217"/>
      <c r="AR968" s="103"/>
      <c r="AS968" s="264"/>
      <c r="AT968" s="94"/>
      <c r="AU968" s="84"/>
      <c r="AV968" s="136"/>
      <c r="AW968" s="77"/>
      <c r="AX968" s="137"/>
      <c r="AY968" s="138"/>
      <c r="AZ968" s="220">
        <f t="shared" si="56"/>
        <v>0</v>
      </c>
      <c r="BA968" s="220">
        <f t="shared" si="57"/>
        <v>0</v>
      </c>
    </row>
    <row r="969" spans="1:53" ht="50.1" customHeight="1" x14ac:dyDescent="0.25">
      <c r="A969" s="17">
        <f t="shared" si="58"/>
        <v>955</v>
      </c>
      <c r="B969" s="228"/>
      <c r="C969" s="221"/>
      <c r="D969" s="88"/>
      <c r="E969" s="100"/>
      <c r="F969" s="95"/>
      <c r="G969" s="114"/>
      <c r="H969" s="96"/>
      <c r="I969" s="97"/>
      <c r="J969" s="98"/>
      <c r="K969" s="101"/>
      <c r="L969" s="124"/>
      <c r="M969" s="333"/>
      <c r="N969" s="341"/>
      <c r="O969" s="82"/>
      <c r="P969" s="93"/>
      <c r="Q969" s="82"/>
      <c r="R969" s="93"/>
      <c r="S969" s="298"/>
      <c r="T969" s="304"/>
      <c r="U969" s="307"/>
      <c r="V969" s="309"/>
      <c r="W969" s="248"/>
      <c r="X969" s="342"/>
      <c r="Y969" s="336"/>
      <c r="Z969" s="123"/>
      <c r="AA969" s="33"/>
      <c r="AB969" s="123"/>
      <c r="AC969" s="33"/>
      <c r="AD969" s="123"/>
      <c r="AE969" s="33"/>
      <c r="AF969" s="123"/>
      <c r="AG969" s="243"/>
      <c r="AH969" s="33"/>
      <c r="AI969" s="245"/>
      <c r="AJ969" s="125"/>
      <c r="AK969" s="91"/>
      <c r="AL969" s="126"/>
      <c r="AM969" s="91"/>
      <c r="AN969" s="91"/>
      <c r="AO969" s="197">
        <f t="shared" si="59"/>
        <v>0</v>
      </c>
      <c r="AP969" s="126"/>
      <c r="AQ969" s="216"/>
      <c r="AR969" s="127"/>
      <c r="AS969" s="269"/>
      <c r="AT969" s="94"/>
      <c r="AU969" s="84"/>
      <c r="AV969" s="80"/>
      <c r="AW969" s="81"/>
      <c r="AX969" s="77"/>
      <c r="AY969" s="107"/>
      <c r="AZ969" s="220">
        <f t="shared" si="56"/>
        <v>0</v>
      </c>
      <c r="BA969" s="220">
        <f t="shared" si="57"/>
        <v>0</v>
      </c>
    </row>
    <row r="970" spans="1:53" ht="50.1" customHeight="1" x14ac:dyDescent="0.25">
      <c r="A970" s="17">
        <f t="shared" si="58"/>
        <v>956</v>
      </c>
      <c r="B970" s="229"/>
      <c r="C970" s="222"/>
      <c r="D970" s="112"/>
      <c r="E970" s="128"/>
      <c r="F970" s="129"/>
      <c r="G970" s="130"/>
      <c r="H970" s="131"/>
      <c r="I970" s="132"/>
      <c r="J970" s="108"/>
      <c r="K970" s="133"/>
      <c r="L970" s="134"/>
      <c r="M970" s="334"/>
      <c r="N970" s="343"/>
      <c r="O970" s="135"/>
      <c r="P970" s="82"/>
      <c r="Q970" s="135"/>
      <c r="R970" s="82"/>
      <c r="S970" s="299"/>
      <c r="T970" s="305"/>
      <c r="U970" s="298"/>
      <c r="V970" s="304"/>
      <c r="W970" s="249"/>
      <c r="X970" s="344"/>
      <c r="Y970" s="337"/>
      <c r="Z970" s="33"/>
      <c r="AA970" s="83"/>
      <c r="AB970" s="33"/>
      <c r="AC970" s="83"/>
      <c r="AD970" s="33"/>
      <c r="AE970" s="83"/>
      <c r="AF970" s="33"/>
      <c r="AG970" s="244"/>
      <c r="AH970" s="83"/>
      <c r="AI970" s="246"/>
      <c r="AJ970" s="102"/>
      <c r="AK970" s="92"/>
      <c r="AL970" s="91"/>
      <c r="AM970" s="92"/>
      <c r="AN970" s="351"/>
      <c r="AO970" s="197">
        <f t="shared" si="59"/>
        <v>0</v>
      </c>
      <c r="AP970" s="91"/>
      <c r="AQ970" s="217"/>
      <c r="AR970" s="103"/>
      <c r="AS970" s="264"/>
      <c r="AT970" s="94"/>
      <c r="AU970" s="84"/>
      <c r="AV970" s="136"/>
      <c r="AW970" s="77"/>
      <c r="AX970" s="137"/>
      <c r="AY970" s="138"/>
      <c r="AZ970" s="220">
        <f t="shared" si="56"/>
        <v>0</v>
      </c>
      <c r="BA970" s="220">
        <f t="shared" si="57"/>
        <v>0</v>
      </c>
    </row>
    <row r="971" spans="1:53" ht="50.1" customHeight="1" x14ac:dyDescent="0.25">
      <c r="A971" s="17">
        <f t="shared" si="58"/>
        <v>957</v>
      </c>
      <c r="B971" s="228"/>
      <c r="C971" s="221"/>
      <c r="D971" s="88"/>
      <c r="E971" s="100"/>
      <c r="F971" s="95"/>
      <c r="G971" s="114"/>
      <c r="H971" s="96"/>
      <c r="I971" s="97"/>
      <c r="J971" s="98"/>
      <c r="K971" s="101"/>
      <c r="L971" s="124"/>
      <c r="M971" s="333"/>
      <c r="N971" s="341"/>
      <c r="O971" s="82"/>
      <c r="P971" s="93"/>
      <c r="Q971" s="82"/>
      <c r="R971" s="93"/>
      <c r="S971" s="298"/>
      <c r="T971" s="304"/>
      <c r="U971" s="307"/>
      <c r="V971" s="309"/>
      <c r="W971" s="248"/>
      <c r="X971" s="342"/>
      <c r="Y971" s="336"/>
      <c r="Z971" s="123"/>
      <c r="AA971" s="33"/>
      <c r="AB971" s="123"/>
      <c r="AC971" s="33"/>
      <c r="AD971" s="123"/>
      <c r="AE971" s="33"/>
      <c r="AF971" s="123"/>
      <c r="AG971" s="243"/>
      <c r="AH971" s="33"/>
      <c r="AI971" s="245"/>
      <c r="AJ971" s="125"/>
      <c r="AK971" s="91"/>
      <c r="AL971" s="126"/>
      <c r="AM971" s="91"/>
      <c r="AN971" s="91"/>
      <c r="AO971" s="197">
        <f t="shared" si="59"/>
        <v>0</v>
      </c>
      <c r="AP971" s="126"/>
      <c r="AQ971" s="216"/>
      <c r="AR971" s="127"/>
      <c r="AS971" s="269"/>
      <c r="AT971" s="94"/>
      <c r="AU971" s="84"/>
      <c r="AV971" s="80"/>
      <c r="AW971" s="81"/>
      <c r="AX971" s="77"/>
      <c r="AY971" s="107"/>
      <c r="AZ971" s="220">
        <f t="shared" si="56"/>
        <v>0</v>
      </c>
      <c r="BA971" s="220">
        <f t="shared" si="57"/>
        <v>0</v>
      </c>
    </row>
    <row r="972" spans="1:53" ht="50.1" customHeight="1" x14ac:dyDescent="0.25">
      <c r="A972" s="17">
        <f t="shared" si="58"/>
        <v>958</v>
      </c>
      <c r="B972" s="229"/>
      <c r="C972" s="222"/>
      <c r="D972" s="112"/>
      <c r="E972" s="128"/>
      <c r="F972" s="129"/>
      <c r="G972" s="130"/>
      <c r="H972" s="131"/>
      <c r="I972" s="132"/>
      <c r="J972" s="108"/>
      <c r="K972" s="133"/>
      <c r="L972" s="134"/>
      <c r="M972" s="334"/>
      <c r="N972" s="343"/>
      <c r="O972" s="135"/>
      <c r="P972" s="82"/>
      <c r="Q972" s="135"/>
      <c r="R972" s="82"/>
      <c r="S972" s="299"/>
      <c r="T972" s="305"/>
      <c r="U972" s="298"/>
      <c r="V972" s="304"/>
      <c r="W972" s="249"/>
      <c r="X972" s="344"/>
      <c r="Y972" s="337"/>
      <c r="Z972" s="33"/>
      <c r="AA972" s="83"/>
      <c r="AB972" s="33"/>
      <c r="AC972" s="83"/>
      <c r="AD972" s="33"/>
      <c r="AE972" s="83"/>
      <c r="AF972" s="33"/>
      <c r="AG972" s="244"/>
      <c r="AH972" s="83"/>
      <c r="AI972" s="246"/>
      <c r="AJ972" s="102"/>
      <c r="AK972" s="92"/>
      <c r="AL972" s="91"/>
      <c r="AM972" s="92"/>
      <c r="AN972" s="351"/>
      <c r="AO972" s="197">
        <f t="shared" si="59"/>
        <v>0</v>
      </c>
      <c r="AP972" s="91"/>
      <c r="AQ972" s="217"/>
      <c r="AR972" s="103"/>
      <c r="AS972" s="264"/>
      <c r="AT972" s="94"/>
      <c r="AU972" s="84"/>
      <c r="AV972" s="136"/>
      <c r="AW972" s="77"/>
      <c r="AX972" s="137"/>
      <c r="AY972" s="138"/>
      <c r="AZ972" s="220">
        <f t="shared" si="56"/>
        <v>0</v>
      </c>
      <c r="BA972" s="220">
        <f t="shared" si="57"/>
        <v>0</v>
      </c>
    </row>
    <row r="973" spans="1:53" ht="50.1" customHeight="1" x14ac:dyDescent="0.25">
      <c r="A973" s="17">
        <f t="shared" si="58"/>
        <v>959</v>
      </c>
      <c r="B973" s="228"/>
      <c r="C973" s="221"/>
      <c r="D973" s="88"/>
      <c r="E973" s="100"/>
      <c r="F973" s="95"/>
      <c r="G973" s="114"/>
      <c r="H973" s="96"/>
      <c r="I973" s="97"/>
      <c r="J973" s="98"/>
      <c r="K973" s="101"/>
      <c r="L973" s="124"/>
      <c r="M973" s="333"/>
      <c r="N973" s="341"/>
      <c r="O973" s="82"/>
      <c r="P973" s="93"/>
      <c r="Q973" s="82"/>
      <c r="R973" s="93"/>
      <c r="S973" s="298"/>
      <c r="T973" s="304"/>
      <c r="U973" s="307"/>
      <c r="V973" s="309"/>
      <c r="W973" s="248"/>
      <c r="X973" s="342"/>
      <c r="Y973" s="336"/>
      <c r="Z973" s="123"/>
      <c r="AA973" s="33"/>
      <c r="AB973" s="123"/>
      <c r="AC973" s="33"/>
      <c r="AD973" s="123"/>
      <c r="AE973" s="33"/>
      <c r="AF973" s="123"/>
      <c r="AG973" s="243"/>
      <c r="AH973" s="33"/>
      <c r="AI973" s="245"/>
      <c r="AJ973" s="125"/>
      <c r="AK973" s="91"/>
      <c r="AL973" s="126"/>
      <c r="AM973" s="91"/>
      <c r="AN973" s="91"/>
      <c r="AO973" s="197">
        <f t="shared" si="59"/>
        <v>0</v>
      </c>
      <c r="AP973" s="126"/>
      <c r="AQ973" s="216"/>
      <c r="AR973" s="127"/>
      <c r="AS973" s="269"/>
      <c r="AT973" s="94"/>
      <c r="AU973" s="84"/>
      <c r="AV973" s="80"/>
      <c r="AW973" s="81"/>
      <c r="AX973" s="77"/>
      <c r="AY973" s="107"/>
      <c r="AZ973" s="220">
        <f t="shared" si="56"/>
        <v>0</v>
      </c>
      <c r="BA973" s="220">
        <f t="shared" si="57"/>
        <v>0</v>
      </c>
    </row>
    <row r="974" spans="1:53" ht="50.1" customHeight="1" x14ac:dyDescent="0.25">
      <c r="A974" s="17">
        <f t="shared" si="58"/>
        <v>960</v>
      </c>
      <c r="B974" s="229"/>
      <c r="C974" s="222"/>
      <c r="D974" s="112"/>
      <c r="E974" s="128"/>
      <c r="F974" s="129"/>
      <c r="G974" s="130"/>
      <c r="H974" s="131"/>
      <c r="I974" s="132"/>
      <c r="J974" s="108"/>
      <c r="K974" s="133"/>
      <c r="L974" s="134"/>
      <c r="M974" s="334"/>
      <c r="N974" s="343"/>
      <c r="O974" s="135"/>
      <c r="P974" s="82"/>
      <c r="Q974" s="135"/>
      <c r="R974" s="82"/>
      <c r="S974" s="299"/>
      <c r="T974" s="305"/>
      <c r="U974" s="298"/>
      <c r="V974" s="304"/>
      <c r="W974" s="249"/>
      <c r="X974" s="344"/>
      <c r="Y974" s="337"/>
      <c r="Z974" s="33"/>
      <c r="AA974" s="83"/>
      <c r="AB974" s="33"/>
      <c r="AC974" s="83"/>
      <c r="AD974" s="33"/>
      <c r="AE974" s="83"/>
      <c r="AF974" s="33"/>
      <c r="AG974" s="244"/>
      <c r="AH974" s="83"/>
      <c r="AI974" s="246"/>
      <c r="AJ974" s="102"/>
      <c r="AK974" s="92"/>
      <c r="AL974" s="91"/>
      <c r="AM974" s="92"/>
      <c r="AN974" s="351"/>
      <c r="AO974" s="197">
        <f t="shared" si="59"/>
        <v>0</v>
      </c>
      <c r="AP974" s="91"/>
      <c r="AQ974" s="217"/>
      <c r="AR974" s="103"/>
      <c r="AS974" s="264"/>
      <c r="AT974" s="94"/>
      <c r="AU974" s="84"/>
      <c r="AV974" s="136"/>
      <c r="AW974" s="77"/>
      <c r="AX974" s="137"/>
      <c r="AY974" s="138"/>
      <c r="AZ974" s="220">
        <f t="shared" si="56"/>
        <v>0</v>
      </c>
      <c r="BA974" s="220">
        <f t="shared" si="57"/>
        <v>0</v>
      </c>
    </row>
    <row r="975" spans="1:53" ht="50.1" customHeight="1" x14ac:dyDescent="0.25">
      <c r="A975" s="17">
        <f t="shared" si="58"/>
        <v>961</v>
      </c>
      <c r="B975" s="228"/>
      <c r="C975" s="221"/>
      <c r="D975" s="88"/>
      <c r="E975" s="100"/>
      <c r="F975" s="95"/>
      <c r="G975" s="114"/>
      <c r="H975" s="96"/>
      <c r="I975" s="97"/>
      <c r="J975" s="98"/>
      <c r="K975" s="101"/>
      <c r="L975" s="124"/>
      <c r="M975" s="333"/>
      <c r="N975" s="341"/>
      <c r="O975" s="82"/>
      <c r="P975" s="93"/>
      <c r="Q975" s="82"/>
      <c r="R975" s="93"/>
      <c r="S975" s="298"/>
      <c r="T975" s="304"/>
      <c r="U975" s="307"/>
      <c r="V975" s="309"/>
      <c r="W975" s="248"/>
      <c r="X975" s="342"/>
      <c r="Y975" s="336"/>
      <c r="Z975" s="123"/>
      <c r="AA975" s="33"/>
      <c r="AB975" s="123"/>
      <c r="AC975" s="33"/>
      <c r="AD975" s="123"/>
      <c r="AE975" s="33"/>
      <c r="AF975" s="123"/>
      <c r="AG975" s="243"/>
      <c r="AH975" s="33"/>
      <c r="AI975" s="245"/>
      <c r="AJ975" s="125"/>
      <c r="AK975" s="91"/>
      <c r="AL975" s="126"/>
      <c r="AM975" s="91"/>
      <c r="AN975" s="91"/>
      <c r="AO975" s="197">
        <f t="shared" si="59"/>
        <v>0</v>
      </c>
      <c r="AP975" s="126"/>
      <c r="AQ975" s="216"/>
      <c r="AR975" s="127"/>
      <c r="AS975" s="269"/>
      <c r="AT975" s="94"/>
      <c r="AU975" s="84"/>
      <c r="AV975" s="80"/>
      <c r="AW975" s="81"/>
      <c r="AX975" s="77"/>
      <c r="AY975" s="107"/>
      <c r="AZ975" s="220">
        <f t="shared" ref="AZ975:AZ1014" si="60">M975-B975</f>
        <v>0</v>
      </c>
      <c r="BA975" s="220">
        <f t="shared" ref="BA975:BA1014" si="61">AU975-M975</f>
        <v>0</v>
      </c>
    </row>
    <row r="976" spans="1:53" ht="50.1" customHeight="1" x14ac:dyDescent="0.25">
      <c r="A976" s="17">
        <f t="shared" ref="A976:A1014" si="62">ROW(A962)</f>
        <v>962</v>
      </c>
      <c r="B976" s="229"/>
      <c r="C976" s="222"/>
      <c r="D976" s="112"/>
      <c r="E976" s="128"/>
      <c r="F976" s="129"/>
      <c r="G976" s="130"/>
      <c r="H976" s="131"/>
      <c r="I976" s="132"/>
      <c r="J976" s="108"/>
      <c r="K976" s="133"/>
      <c r="L976" s="134"/>
      <c r="M976" s="334"/>
      <c r="N976" s="343"/>
      <c r="O976" s="135"/>
      <c r="P976" s="82"/>
      <c r="Q976" s="135"/>
      <c r="R976" s="82"/>
      <c r="S976" s="299"/>
      <c r="T976" s="305"/>
      <c r="U976" s="298"/>
      <c r="V976" s="304"/>
      <c r="W976" s="249"/>
      <c r="X976" s="344"/>
      <c r="Y976" s="337"/>
      <c r="Z976" s="33"/>
      <c r="AA976" s="83"/>
      <c r="AB976" s="33"/>
      <c r="AC976" s="83"/>
      <c r="AD976" s="33"/>
      <c r="AE976" s="83"/>
      <c r="AF976" s="33"/>
      <c r="AG976" s="244"/>
      <c r="AH976" s="83"/>
      <c r="AI976" s="246"/>
      <c r="AJ976" s="102"/>
      <c r="AK976" s="92"/>
      <c r="AL976" s="91"/>
      <c r="AM976" s="92"/>
      <c r="AN976" s="351"/>
      <c r="AO976" s="197">
        <f t="shared" ref="AO976:AO1014" si="63">AJ976-AK976-AL976-AM976-AN976</f>
        <v>0</v>
      </c>
      <c r="AP976" s="91"/>
      <c r="AQ976" s="217"/>
      <c r="AR976" s="103"/>
      <c r="AS976" s="264"/>
      <c r="AT976" s="94"/>
      <c r="AU976" s="84"/>
      <c r="AV976" s="136"/>
      <c r="AW976" s="77"/>
      <c r="AX976" s="137"/>
      <c r="AY976" s="138"/>
      <c r="AZ976" s="220">
        <f t="shared" si="60"/>
        <v>0</v>
      </c>
      <c r="BA976" s="220">
        <f t="shared" si="61"/>
        <v>0</v>
      </c>
    </row>
    <row r="977" spans="1:53" ht="50.1" customHeight="1" x14ac:dyDescent="0.25">
      <c r="A977" s="17">
        <f t="shared" si="62"/>
        <v>963</v>
      </c>
      <c r="B977" s="228"/>
      <c r="C977" s="221"/>
      <c r="D977" s="88"/>
      <c r="E977" s="100"/>
      <c r="F977" s="95"/>
      <c r="G977" s="114"/>
      <c r="H977" s="96"/>
      <c r="I977" s="97"/>
      <c r="J977" s="98"/>
      <c r="K977" s="101"/>
      <c r="L977" s="124"/>
      <c r="M977" s="333"/>
      <c r="N977" s="341"/>
      <c r="O977" s="82"/>
      <c r="P977" s="93"/>
      <c r="Q977" s="82"/>
      <c r="R977" s="93"/>
      <c r="S977" s="298"/>
      <c r="T977" s="304"/>
      <c r="U977" s="307"/>
      <c r="V977" s="309"/>
      <c r="W977" s="248"/>
      <c r="X977" s="342"/>
      <c r="Y977" s="336"/>
      <c r="Z977" s="123"/>
      <c r="AA977" s="33"/>
      <c r="AB977" s="123"/>
      <c r="AC977" s="33"/>
      <c r="AD977" s="123"/>
      <c r="AE977" s="33"/>
      <c r="AF977" s="123"/>
      <c r="AG977" s="243"/>
      <c r="AH977" s="33"/>
      <c r="AI977" s="245"/>
      <c r="AJ977" s="125"/>
      <c r="AK977" s="91"/>
      <c r="AL977" s="126"/>
      <c r="AM977" s="91"/>
      <c r="AN977" s="91"/>
      <c r="AO977" s="197">
        <f t="shared" si="63"/>
        <v>0</v>
      </c>
      <c r="AP977" s="126"/>
      <c r="AQ977" s="216"/>
      <c r="AR977" s="127"/>
      <c r="AS977" s="269"/>
      <c r="AT977" s="94"/>
      <c r="AU977" s="84"/>
      <c r="AV977" s="80"/>
      <c r="AW977" s="81"/>
      <c r="AX977" s="77"/>
      <c r="AY977" s="107"/>
      <c r="AZ977" s="220">
        <f t="shared" si="60"/>
        <v>0</v>
      </c>
      <c r="BA977" s="220">
        <f t="shared" si="61"/>
        <v>0</v>
      </c>
    </row>
    <row r="978" spans="1:53" ht="50.1" customHeight="1" x14ac:dyDescent="0.25">
      <c r="A978" s="17">
        <f t="shared" si="62"/>
        <v>964</v>
      </c>
      <c r="B978" s="229"/>
      <c r="C978" s="222"/>
      <c r="D978" s="112"/>
      <c r="E978" s="128"/>
      <c r="F978" s="129"/>
      <c r="G978" s="130"/>
      <c r="H978" s="131"/>
      <c r="I978" s="132"/>
      <c r="J978" s="108"/>
      <c r="K978" s="133"/>
      <c r="L978" s="134"/>
      <c r="M978" s="334"/>
      <c r="N978" s="343"/>
      <c r="O978" s="135"/>
      <c r="P978" s="82"/>
      <c r="Q978" s="135"/>
      <c r="R978" s="82"/>
      <c r="S978" s="299"/>
      <c r="T978" s="305"/>
      <c r="U978" s="298"/>
      <c r="V978" s="304"/>
      <c r="W978" s="249"/>
      <c r="X978" s="344"/>
      <c r="Y978" s="337"/>
      <c r="Z978" s="33"/>
      <c r="AA978" s="83"/>
      <c r="AB978" s="33"/>
      <c r="AC978" s="83"/>
      <c r="AD978" s="33"/>
      <c r="AE978" s="83"/>
      <c r="AF978" s="33"/>
      <c r="AG978" s="244"/>
      <c r="AH978" s="83"/>
      <c r="AI978" s="246"/>
      <c r="AJ978" s="102"/>
      <c r="AK978" s="92"/>
      <c r="AL978" s="91"/>
      <c r="AM978" s="92"/>
      <c r="AN978" s="351"/>
      <c r="AO978" s="197">
        <f t="shared" si="63"/>
        <v>0</v>
      </c>
      <c r="AP978" s="91"/>
      <c r="AQ978" s="217"/>
      <c r="AR978" s="103"/>
      <c r="AS978" s="264"/>
      <c r="AT978" s="94"/>
      <c r="AU978" s="84"/>
      <c r="AV978" s="136"/>
      <c r="AW978" s="77"/>
      <c r="AX978" s="137"/>
      <c r="AY978" s="138"/>
      <c r="AZ978" s="220">
        <f t="shared" si="60"/>
        <v>0</v>
      </c>
      <c r="BA978" s="220">
        <f t="shared" si="61"/>
        <v>0</v>
      </c>
    </row>
    <row r="979" spans="1:53" ht="50.1" customHeight="1" x14ac:dyDescent="0.25">
      <c r="A979" s="17">
        <f t="shared" si="62"/>
        <v>965</v>
      </c>
      <c r="B979" s="228"/>
      <c r="C979" s="221"/>
      <c r="D979" s="88"/>
      <c r="E979" s="100"/>
      <c r="F979" s="95"/>
      <c r="G979" s="114"/>
      <c r="H979" s="96"/>
      <c r="I979" s="97"/>
      <c r="J979" s="98"/>
      <c r="K979" s="101"/>
      <c r="L979" s="124"/>
      <c r="M979" s="333"/>
      <c r="N979" s="341"/>
      <c r="O979" s="82"/>
      <c r="P979" s="93"/>
      <c r="Q979" s="82"/>
      <c r="R979" s="93"/>
      <c r="S979" s="298"/>
      <c r="T979" s="304"/>
      <c r="U979" s="307"/>
      <c r="V979" s="309"/>
      <c r="W979" s="248"/>
      <c r="X979" s="342"/>
      <c r="Y979" s="336"/>
      <c r="Z979" s="123"/>
      <c r="AA979" s="33"/>
      <c r="AB979" s="123"/>
      <c r="AC979" s="33"/>
      <c r="AD979" s="123"/>
      <c r="AE979" s="33"/>
      <c r="AF979" s="123"/>
      <c r="AG979" s="243"/>
      <c r="AH979" s="33"/>
      <c r="AI979" s="245"/>
      <c r="AJ979" s="125"/>
      <c r="AK979" s="91"/>
      <c r="AL979" s="126"/>
      <c r="AM979" s="91"/>
      <c r="AN979" s="91"/>
      <c r="AO979" s="197">
        <f t="shared" si="63"/>
        <v>0</v>
      </c>
      <c r="AP979" s="126"/>
      <c r="AQ979" s="216"/>
      <c r="AR979" s="127"/>
      <c r="AS979" s="269"/>
      <c r="AT979" s="94"/>
      <c r="AU979" s="84"/>
      <c r="AV979" s="80"/>
      <c r="AW979" s="81"/>
      <c r="AX979" s="77"/>
      <c r="AY979" s="107"/>
      <c r="AZ979" s="220">
        <f t="shared" si="60"/>
        <v>0</v>
      </c>
      <c r="BA979" s="220">
        <f t="shared" si="61"/>
        <v>0</v>
      </c>
    </row>
    <row r="980" spans="1:53" ht="50.1" customHeight="1" x14ac:dyDescent="0.25">
      <c r="A980" s="17">
        <f t="shared" si="62"/>
        <v>966</v>
      </c>
      <c r="B980" s="229"/>
      <c r="C980" s="222"/>
      <c r="D980" s="112"/>
      <c r="E980" s="128"/>
      <c r="F980" s="129"/>
      <c r="G980" s="130"/>
      <c r="H980" s="131"/>
      <c r="I980" s="132"/>
      <c r="J980" s="108"/>
      <c r="K980" s="133"/>
      <c r="L980" s="134"/>
      <c r="M980" s="334"/>
      <c r="N980" s="343"/>
      <c r="O980" s="135"/>
      <c r="P980" s="82"/>
      <c r="Q980" s="135"/>
      <c r="R980" s="82"/>
      <c r="S980" s="299"/>
      <c r="T980" s="305"/>
      <c r="U980" s="298"/>
      <c r="V980" s="304"/>
      <c r="W980" s="249"/>
      <c r="X980" s="344"/>
      <c r="Y980" s="337"/>
      <c r="Z980" s="33"/>
      <c r="AA980" s="83"/>
      <c r="AB980" s="33"/>
      <c r="AC980" s="83"/>
      <c r="AD980" s="33"/>
      <c r="AE980" s="83"/>
      <c r="AF980" s="33"/>
      <c r="AG980" s="244"/>
      <c r="AH980" s="83"/>
      <c r="AI980" s="246"/>
      <c r="AJ980" s="102"/>
      <c r="AK980" s="92"/>
      <c r="AL980" s="91"/>
      <c r="AM980" s="92"/>
      <c r="AN980" s="351"/>
      <c r="AO980" s="197">
        <f t="shared" si="63"/>
        <v>0</v>
      </c>
      <c r="AP980" s="91"/>
      <c r="AQ980" s="217"/>
      <c r="AR980" s="103"/>
      <c r="AS980" s="264"/>
      <c r="AT980" s="94"/>
      <c r="AU980" s="84"/>
      <c r="AV980" s="136"/>
      <c r="AW980" s="77"/>
      <c r="AX980" s="137"/>
      <c r="AY980" s="138"/>
      <c r="AZ980" s="220">
        <f t="shared" si="60"/>
        <v>0</v>
      </c>
      <c r="BA980" s="220">
        <f t="shared" si="61"/>
        <v>0</v>
      </c>
    </row>
    <row r="981" spans="1:53" ht="50.1" customHeight="1" x14ac:dyDescent="0.25">
      <c r="A981" s="17">
        <f t="shared" si="62"/>
        <v>967</v>
      </c>
      <c r="B981" s="228"/>
      <c r="C981" s="221"/>
      <c r="D981" s="88"/>
      <c r="E981" s="100"/>
      <c r="F981" s="95"/>
      <c r="G981" s="114"/>
      <c r="H981" s="96"/>
      <c r="I981" s="97"/>
      <c r="J981" s="98"/>
      <c r="K981" s="101"/>
      <c r="L981" s="124"/>
      <c r="M981" s="333"/>
      <c r="N981" s="341"/>
      <c r="O981" s="82"/>
      <c r="P981" s="93"/>
      <c r="Q981" s="82"/>
      <c r="R981" s="93"/>
      <c r="S981" s="298"/>
      <c r="T981" s="304"/>
      <c r="U981" s="307"/>
      <c r="V981" s="309"/>
      <c r="W981" s="248"/>
      <c r="X981" s="342"/>
      <c r="Y981" s="336"/>
      <c r="Z981" s="123"/>
      <c r="AA981" s="33"/>
      <c r="AB981" s="123"/>
      <c r="AC981" s="33"/>
      <c r="AD981" s="123"/>
      <c r="AE981" s="33"/>
      <c r="AF981" s="123"/>
      <c r="AG981" s="243"/>
      <c r="AH981" s="33"/>
      <c r="AI981" s="245"/>
      <c r="AJ981" s="125"/>
      <c r="AK981" s="91"/>
      <c r="AL981" s="126"/>
      <c r="AM981" s="91"/>
      <c r="AN981" s="91"/>
      <c r="AO981" s="197">
        <f t="shared" si="63"/>
        <v>0</v>
      </c>
      <c r="AP981" s="126"/>
      <c r="AQ981" s="216"/>
      <c r="AR981" s="127"/>
      <c r="AS981" s="269"/>
      <c r="AT981" s="94"/>
      <c r="AU981" s="84"/>
      <c r="AV981" s="80"/>
      <c r="AW981" s="81"/>
      <c r="AX981" s="77"/>
      <c r="AY981" s="107"/>
      <c r="AZ981" s="220">
        <f t="shared" si="60"/>
        <v>0</v>
      </c>
      <c r="BA981" s="220">
        <f t="shared" si="61"/>
        <v>0</v>
      </c>
    </row>
    <row r="982" spans="1:53" ht="50.1" customHeight="1" x14ac:dyDescent="0.25">
      <c r="A982" s="17">
        <f t="shared" si="62"/>
        <v>968</v>
      </c>
      <c r="B982" s="229"/>
      <c r="C982" s="222"/>
      <c r="D982" s="112"/>
      <c r="E982" s="128"/>
      <c r="F982" s="129"/>
      <c r="G982" s="130"/>
      <c r="H982" s="131"/>
      <c r="I982" s="132"/>
      <c r="J982" s="108"/>
      <c r="K982" s="133"/>
      <c r="L982" s="134"/>
      <c r="M982" s="334"/>
      <c r="N982" s="343"/>
      <c r="O982" s="135"/>
      <c r="P982" s="82"/>
      <c r="Q982" s="135"/>
      <c r="R982" s="82"/>
      <c r="S982" s="299"/>
      <c r="T982" s="305"/>
      <c r="U982" s="298"/>
      <c r="V982" s="304"/>
      <c r="W982" s="249"/>
      <c r="X982" s="344"/>
      <c r="Y982" s="337"/>
      <c r="Z982" s="33"/>
      <c r="AA982" s="83"/>
      <c r="AB982" s="33"/>
      <c r="AC982" s="83"/>
      <c r="AD982" s="33"/>
      <c r="AE982" s="83"/>
      <c r="AF982" s="33"/>
      <c r="AG982" s="244"/>
      <c r="AH982" s="83"/>
      <c r="AI982" s="246"/>
      <c r="AJ982" s="102"/>
      <c r="AK982" s="92"/>
      <c r="AL982" s="91"/>
      <c r="AM982" s="92"/>
      <c r="AN982" s="351"/>
      <c r="AO982" s="197">
        <f t="shared" si="63"/>
        <v>0</v>
      </c>
      <c r="AP982" s="91"/>
      <c r="AQ982" s="217"/>
      <c r="AR982" s="103"/>
      <c r="AS982" s="264"/>
      <c r="AT982" s="94"/>
      <c r="AU982" s="84"/>
      <c r="AV982" s="136"/>
      <c r="AW982" s="77"/>
      <c r="AX982" s="137"/>
      <c r="AY982" s="138"/>
      <c r="AZ982" s="220">
        <f t="shared" si="60"/>
        <v>0</v>
      </c>
      <c r="BA982" s="220">
        <f t="shared" si="61"/>
        <v>0</v>
      </c>
    </row>
    <row r="983" spans="1:53" ht="50.1" customHeight="1" x14ac:dyDescent="0.25">
      <c r="A983" s="17">
        <f t="shared" si="62"/>
        <v>969</v>
      </c>
      <c r="B983" s="228"/>
      <c r="C983" s="221"/>
      <c r="D983" s="88"/>
      <c r="E983" s="100"/>
      <c r="F983" s="95"/>
      <c r="G983" s="114"/>
      <c r="H983" s="96"/>
      <c r="I983" s="97"/>
      <c r="J983" s="98"/>
      <c r="K983" s="101"/>
      <c r="L983" s="124"/>
      <c r="M983" s="333"/>
      <c r="N983" s="341"/>
      <c r="O983" s="82"/>
      <c r="P983" s="93"/>
      <c r="Q983" s="82"/>
      <c r="R983" s="93"/>
      <c r="S983" s="298"/>
      <c r="T983" s="304"/>
      <c r="U983" s="307"/>
      <c r="V983" s="309"/>
      <c r="W983" s="248"/>
      <c r="X983" s="342"/>
      <c r="Y983" s="336"/>
      <c r="Z983" s="123"/>
      <c r="AA983" s="33"/>
      <c r="AB983" s="123"/>
      <c r="AC983" s="33"/>
      <c r="AD983" s="123"/>
      <c r="AE983" s="33"/>
      <c r="AF983" s="123"/>
      <c r="AG983" s="243"/>
      <c r="AH983" s="33"/>
      <c r="AI983" s="245"/>
      <c r="AJ983" s="125"/>
      <c r="AK983" s="91"/>
      <c r="AL983" s="126"/>
      <c r="AM983" s="91"/>
      <c r="AN983" s="91"/>
      <c r="AO983" s="197">
        <f t="shared" si="63"/>
        <v>0</v>
      </c>
      <c r="AP983" s="126"/>
      <c r="AQ983" s="216"/>
      <c r="AR983" s="127"/>
      <c r="AS983" s="269"/>
      <c r="AT983" s="94"/>
      <c r="AU983" s="84"/>
      <c r="AV983" s="80"/>
      <c r="AW983" s="81"/>
      <c r="AX983" s="77"/>
      <c r="AY983" s="107"/>
      <c r="AZ983" s="220">
        <f t="shared" si="60"/>
        <v>0</v>
      </c>
      <c r="BA983" s="220">
        <f t="shared" si="61"/>
        <v>0</v>
      </c>
    </row>
    <row r="984" spans="1:53" ht="50.1" customHeight="1" x14ac:dyDescent="0.25">
      <c r="A984" s="17">
        <f t="shared" si="62"/>
        <v>970</v>
      </c>
      <c r="B984" s="229"/>
      <c r="C984" s="222"/>
      <c r="D984" s="112"/>
      <c r="E984" s="128"/>
      <c r="F984" s="129"/>
      <c r="G984" s="130"/>
      <c r="H984" s="131"/>
      <c r="I984" s="132"/>
      <c r="J984" s="108"/>
      <c r="K984" s="133"/>
      <c r="L984" s="134"/>
      <c r="M984" s="334"/>
      <c r="N984" s="343"/>
      <c r="O984" s="135"/>
      <c r="P984" s="82"/>
      <c r="Q984" s="135"/>
      <c r="R984" s="82"/>
      <c r="S984" s="299"/>
      <c r="T984" s="305"/>
      <c r="U984" s="298"/>
      <c r="V984" s="304"/>
      <c r="W984" s="249"/>
      <c r="X984" s="344"/>
      <c r="Y984" s="337"/>
      <c r="Z984" s="33"/>
      <c r="AA984" s="83"/>
      <c r="AB984" s="33"/>
      <c r="AC984" s="83"/>
      <c r="AD984" s="33"/>
      <c r="AE984" s="83"/>
      <c r="AF984" s="33"/>
      <c r="AG984" s="244"/>
      <c r="AH984" s="83"/>
      <c r="AI984" s="246"/>
      <c r="AJ984" s="102"/>
      <c r="AK984" s="92"/>
      <c r="AL984" s="91"/>
      <c r="AM984" s="92"/>
      <c r="AN984" s="351"/>
      <c r="AO984" s="197">
        <f t="shared" si="63"/>
        <v>0</v>
      </c>
      <c r="AP984" s="91"/>
      <c r="AQ984" s="217"/>
      <c r="AR984" s="103"/>
      <c r="AS984" s="264"/>
      <c r="AT984" s="94"/>
      <c r="AU984" s="84"/>
      <c r="AV984" s="136"/>
      <c r="AW984" s="77"/>
      <c r="AX984" s="137"/>
      <c r="AY984" s="138"/>
      <c r="AZ984" s="220">
        <f t="shared" si="60"/>
        <v>0</v>
      </c>
      <c r="BA984" s="220">
        <f t="shared" si="61"/>
        <v>0</v>
      </c>
    </row>
    <row r="985" spans="1:53" ht="50.1" customHeight="1" x14ac:dyDescent="0.25">
      <c r="A985" s="17">
        <f t="shared" si="62"/>
        <v>971</v>
      </c>
      <c r="B985" s="228"/>
      <c r="C985" s="221"/>
      <c r="D985" s="88"/>
      <c r="E985" s="100"/>
      <c r="F985" s="95"/>
      <c r="G985" s="114"/>
      <c r="H985" s="96"/>
      <c r="I985" s="97"/>
      <c r="J985" s="98"/>
      <c r="K985" s="101"/>
      <c r="L985" s="124"/>
      <c r="M985" s="333"/>
      <c r="N985" s="341"/>
      <c r="O985" s="82"/>
      <c r="P985" s="93"/>
      <c r="Q985" s="82"/>
      <c r="R985" s="93"/>
      <c r="S985" s="298"/>
      <c r="T985" s="304"/>
      <c r="U985" s="307"/>
      <c r="V985" s="309"/>
      <c r="W985" s="248"/>
      <c r="X985" s="342"/>
      <c r="Y985" s="336"/>
      <c r="Z985" s="123"/>
      <c r="AA985" s="33"/>
      <c r="AB985" s="123"/>
      <c r="AC985" s="33"/>
      <c r="AD985" s="123"/>
      <c r="AE985" s="33"/>
      <c r="AF985" s="123"/>
      <c r="AG985" s="243"/>
      <c r="AH985" s="33"/>
      <c r="AI985" s="245"/>
      <c r="AJ985" s="125"/>
      <c r="AK985" s="91"/>
      <c r="AL985" s="126"/>
      <c r="AM985" s="91"/>
      <c r="AN985" s="91"/>
      <c r="AO985" s="197">
        <f t="shared" si="63"/>
        <v>0</v>
      </c>
      <c r="AP985" s="126"/>
      <c r="AQ985" s="216"/>
      <c r="AR985" s="127"/>
      <c r="AS985" s="269"/>
      <c r="AT985" s="94"/>
      <c r="AU985" s="84"/>
      <c r="AV985" s="80"/>
      <c r="AW985" s="81"/>
      <c r="AX985" s="77"/>
      <c r="AY985" s="107"/>
      <c r="AZ985" s="220">
        <f t="shared" si="60"/>
        <v>0</v>
      </c>
      <c r="BA985" s="220">
        <f t="shared" si="61"/>
        <v>0</v>
      </c>
    </row>
    <row r="986" spans="1:53" ht="50.1" customHeight="1" x14ac:dyDescent="0.25">
      <c r="A986" s="17">
        <f t="shared" si="62"/>
        <v>972</v>
      </c>
      <c r="B986" s="229"/>
      <c r="C986" s="222"/>
      <c r="D986" s="112"/>
      <c r="E986" s="128"/>
      <c r="F986" s="129"/>
      <c r="G986" s="130"/>
      <c r="H986" s="131"/>
      <c r="I986" s="132"/>
      <c r="J986" s="108"/>
      <c r="K986" s="133"/>
      <c r="L986" s="134"/>
      <c r="M986" s="334"/>
      <c r="N986" s="343"/>
      <c r="O986" s="135"/>
      <c r="P986" s="82"/>
      <c r="Q986" s="135"/>
      <c r="R986" s="82"/>
      <c r="S986" s="299"/>
      <c r="T986" s="305"/>
      <c r="U986" s="298"/>
      <c r="V986" s="304"/>
      <c r="W986" s="249"/>
      <c r="X986" s="344"/>
      <c r="Y986" s="337"/>
      <c r="Z986" s="33"/>
      <c r="AA986" s="83"/>
      <c r="AB986" s="33"/>
      <c r="AC986" s="83"/>
      <c r="AD986" s="33"/>
      <c r="AE986" s="83"/>
      <c r="AF986" s="33"/>
      <c r="AG986" s="244"/>
      <c r="AH986" s="83"/>
      <c r="AI986" s="246"/>
      <c r="AJ986" s="102"/>
      <c r="AK986" s="92"/>
      <c r="AL986" s="91"/>
      <c r="AM986" s="92"/>
      <c r="AN986" s="351"/>
      <c r="AO986" s="197">
        <f t="shared" si="63"/>
        <v>0</v>
      </c>
      <c r="AP986" s="91"/>
      <c r="AQ986" s="217"/>
      <c r="AR986" s="103"/>
      <c r="AS986" s="264"/>
      <c r="AT986" s="94"/>
      <c r="AU986" s="84"/>
      <c r="AV986" s="136"/>
      <c r="AW986" s="77"/>
      <c r="AX986" s="137"/>
      <c r="AY986" s="138"/>
      <c r="AZ986" s="220">
        <f t="shared" si="60"/>
        <v>0</v>
      </c>
      <c r="BA986" s="220">
        <f t="shared" si="61"/>
        <v>0</v>
      </c>
    </row>
    <row r="987" spans="1:53" ht="50.1" customHeight="1" x14ac:dyDescent="0.25">
      <c r="A987" s="17">
        <f t="shared" si="62"/>
        <v>973</v>
      </c>
      <c r="B987" s="228"/>
      <c r="C987" s="221"/>
      <c r="D987" s="88"/>
      <c r="E987" s="100"/>
      <c r="F987" s="95"/>
      <c r="G987" s="114"/>
      <c r="H987" s="96"/>
      <c r="I987" s="97"/>
      <c r="J987" s="98"/>
      <c r="K987" s="101"/>
      <c r="L987" s="124"/>
      <c r="M987" s="333"/>
      <c r="N987" s="341"/>
      <c r="O987" s="82"/>
      <c r="P987" s="93"/>
      <c r="Q987" s="82"/>
      <c r="R987" s="93"/>
      <c r="S987" s="298"/>
      <c r="T987" s="304"/>
      <c r="U987" s="307"/>
      <c r="V987" s="309"/>
      <c r="W987" s="248"/>
      <c r="X987" s="342"/>
      <c r="Y987" s="336"/>
      <c r="Z987" s="123"/>
      <c r="AA987" s="33"/>
      <c r="AB987" s="123"/>
      <c r="AC987" s="33"/>
      <c r="AD987" s="123"/>
      <c r="AE987" s="33"/>
      <c r="AF987" s="123"/>
      <c r="AG987" s="243"/>
      <c r="AH987" s="33"/>
      <c r="AI987" s="245"/>
      <c r="AJ987" s="125"/>
      <c r="AK987" s="91"/>
      <c r="AL987" s="126"/>
      <c r="AM987" s="91"/>
      <c r="AN987" s="91"/>
      <c r="AO987" s="197">
        <f t="shared" si="63"/>
        <v>0</v>
      </c>
      <c r="AP987" s="126"/>
      <c r="AQ987" s="216"/>
      <c r="AR987" s="127"/>
      <c r="AS987" s="269"/>
      <c r="AT987" s="94"/>
      <c r="AU987" s="84"/>
      <c r="AV987" s="80"/>
      <c r="AW987" s="81"/>
      <c r="AX987" s="77"/>
      <c r="AY987" s="107"/>
      <c r="AZ987" s="220">
        <f t="shared" si="60"/>
        <v>0</v>
      </c>
      <c r="BA987" s="220">
        <f t="shared" si="61"/>
        <v>0</v>
      </c>
    </row>
    <row r="988" spans="1:53" ht="50.1" customHeight="1" x14ac:dyDescent="0.25">
      <c r="A988" s="17">
        <f t="shared" si="62"/>
        <v>974</v>
      </c>
      <c r="B988" s="229"/>
      <c r="C988" s="222"/>
      <c r="D988" s="112"/>
      <c r="E988" s="128"/>
      <c r="F988" s="129"/>
      <c r="G988" s="130"/>
      <c r="H988" s="131"/>
      <c r="I988" s="132"/>
      <c r="J988" s="108"/>
      <c r="K988" s="133"/>
      <c r="L988" s="134"/>
      <c r="M988" s="334"/>
      <c r="N988" s="343"/>
      <c r="O988" s="135"/>
      <c r="P988" s="82"/>
      <c r="Q988" s="135"/>
      <c r="R988" s="82"/>
      <c r="S988" s="299"/>
      <c r="T988" s="305"/>
      <c r="U988" s="298"/>
      <c r="V988" s="304"/>
      <c r="W988" s="249"/>
      <c r="X988" s="344"/>
      <c r="Y988" s="337"/>
      <c r="Z988" s="33"/>
      <c r="AA988" s="83"/>
      <c r="AB988" s="33"/>
      <c r="AC988" s="83"/>
      <c r="AD988" s="33"/>
      <c r="AE988" s="83"/>
      <c r="AF988" s="33"/>
      <c r="AG988" s="244"/>
      <c r="AH988" s="83"/>
      <c r="AI988" s="246"/>
      <c r="AJ988" s="102"/>
      <c r="AK988" s="92"/>
      <c r="AL988" s="91"/>
      <c r="AM988" s="92"/>
      <c r="AN988" s="351"/>
      <c r="AO988" s="197">
        <f t="shared" si="63"/>
        <v>0</v>
      </c>
      <c r="AP988" s="91"/>
      <c r="AQ988" s="217"/>
      <c r="AR988" s="103"/>
      <c r="AS988" s="264"/>
      <c r="AT988" s="94"/>
      <c r="AU988" s="84"/>
      <c r="AV988" s="136"/>
      <c r="AW988" s="77"/>
      <c r="AX988" s="137"/>
      <c r="AY988" s="138"/>
      <c r="AZ988" s="220">
        <f t="shared" si="60"/>
        <v>0</v>
      </c>
      <c r="BA988" s="220">
        <f t="shared" si="61"/>
        <v>0</v>
      </c>
    </row>
    <row r="989" spans="1:53" ht="50.1" customHeight="1" x14ac:dyDescent="0.25">
      <c r="A989" s="17">
        <f t="shared" si="62"/>
        <v>975</v>
      </c>
      <c r="B989" s="228"/>
      <c r="C989" s="221"/>
      <c r="D989" s="88"/>
      <c r="E989" s="100"/>
      <c r="F989" s="95"/>
      <c r="G989" s="114"/>
      <c r="H989" s="96"/>
      <c r="I989" s="97"/>
      <c r="J989" s="98"/>
      <c r="K989" s="101"/>
      <c r="L989" s="124"/>
      <c r="M989" s="333"/>
      <c r="N989" s="341"/>
      <c r="O989" s="82"/>
      <c r="P989" s="93"/>
      <c r="Q989" s="82"/>
      <c r="R989" s="93"/>
      <c r="S989" s="298"/>
      <c r="T989" s="304"/>
      <c r="U989" s="307"/>
      <c r="V989" s="309"/>
      <c r="W989" s="248"/>
      <c r="X989" s="342"/>
      <c r="Y989" s="336"/>
      <c r="Z989" s="123"/>
      <c r="AA989" s="33"/>
      <c r="AB989" s="123"/>
      <c r="AC989" s="33"/>
      <c r="AD989" s="123"/>
      <c r="AE989" s="33"/>
      <c r="AF989" s="123"/>
      <c r="AG989" s="243"/>
      <c r="AH989" s="33"/>
      <c r="AI989" s="245"/>
      <c r="AJ989" s="125"/>
      <c r="AK989" s="91"/>
      <c r="AL989" s="126"/>
      <c r="AM989" s="91"/>
      <c r="AN989" s="91"/>
      <c r="AO989" s="197">
        <f t="shared" si="63"/>
        <v>0</v>
      </c>
      <c r="AP989" s="126"/>
      <c r="AQ989" s="216"/>
      <c r="AR989" s="127"/>
      <c r="AS989" s="269"/>
      <c r="AT989" s="94"/>
      <c r="AU989" s="84"/>
      <c r="AV989" s="80"/>
      <c r="AW989" s="81"/>
      <c r="AX989" s="77"/>
      <c r="AY989" s="107"/>
      <c r="AZ989" s="220">
        <f t="shared" si="60"/>
        <v>0</v>
      </c>
      <c r="BA989" s="220">
        <f t="shared" si="61"/>
        <v>0</v>
      </c>
    </row>
    <row r="990" spans="1:53" ht="50.1" customHeight="1" x14ac:dyDescent="0.25">
      <c r="A990" s="17">
        <f t="shared" si="62"/>
        <v>976</v>
      </c>
      <c r="B990" s="229"/>
      <c r="C990" s="222"/>
      <c r="D990" s="112"/>
      <c r="E990" s="128"/>
      <c r="F990" s="129"/>
      <c r="G990" s="130"/>
      <c r="H990" s="131"/>
      <c r="I990" s="132"/>
      <c r="J990" s="108"/>
      <c r="K990" s="133"/>
      <c r="L990" s="134"/>
      <c r="M990" s="334"/>
      <c r="N990" s="343"/>
      <c r="O990" s="135"/>
      <c r="P990" s="82"/>
      <c r="Q990" s="135"/>
      <c r="R990" s="82"/>
      <c r="S990" s="299"/>
      <c r="T990" s="305"/>
      <c r="U990" s="298"/>
      <c r="V990" s="304"/>
      <c r="W990" s="249"/>
      <c r="X990" s="344"/>
      <c r="Y990" s="337"/>
      <c r="Z990" s="33"/>
      <c r="AA990" s="83"/>
      <c r="AB990" s="33"/>
      <c r="AC990" s="83"/>
      <c r="AD990" s="33"/>
      <c r="AE990" s="83"/>
      <c r="AF990" s="33"/>
      <c r="AG990" s="244"/>
      <c r="AH990" s="83"/>
      <c r="AI990" s="246"/>
      <c r="AJ990" s="102"/>
      <c r="AK990" s="92"/>
      <c r="AL990" s="91"/>
      <c r="AM990" s="92"/>
      <c r="AN990" s="351"/>
      <c r="AO990" s="197">
        <f t="shared" si="63"/>
        <v>0</v>
      </c>
      <c r="AP990" s="91"/>
      <c r="AQ990" s="217"/>
      <c r="AR990" s="103"/>
      <c r="AS990" s="264"/>
      <c r="AT990" s="94"/>
      <c r="AU990" s="84"/>
      <c r="AV990" s="136"/>
      <c r="AW990" s="77"/>
      <c r="AX990" s="137"/>
      <c r="AY990" s="138"/>
      <c r="AZ990" s="220">
        <f t="shared" si="60"/>
        <v>0</v>
      </c>
      <c r="BA990" s="220">
        <f t="shared" si="61"/>
        <v>0</v>
      </c>
    </row>
    <row r="991" spans="1:53" ht="50.1" customHeight="1" x14ac:dyDescent="0.25">
      <c r="A991" s="17">
        <f t="shared" si="62"/>
        <v>977</v>
      </c>
      <c r="B991" s="228"/>
      <c r="C991" s="221"/>
      <c r="D991" s="88"/>
      <c r="E991" s="100"/>
      <c r="F991" s="95"/>
      <c r="G991" s="114"/>
      <c r="H991" s="96"/>
      <c r="I991" s="97"/>
      <c r="J991" s="98"/>
      <c r="K991" s="101"/>
      <c r="L991" s="124"/>
      <c r="M991" s="333"/>
      <c r="N991" s="341"/>
      <c r="O991" s="82"/>
      <c r="P991" s="93"/>
      <c r="Q991" s="82"/>
      <c r="R991" s="93"/>
      <c r="S991" s="298"/>
      <c r="T991" s="304"/>
      <c r="U991" s="307"/>
      <c r="V991" s="309"/>
      <c r="W991" s="248"/>
      <c r="X991" s="342"/>
      <c r="Y991" s="336"/>
      <c r="Z991" s="123"/>
      <c r="AA991" s="33"/>
      <c r="AB991" s="123"/>
      <c r="AC991" s="33"/>
      <c r="AD991" s="123"/>
      <c r="AE991" s="33"/>
      <c r="AF991" s="123"/>
      <c r="AG991" s="243"/>
      <c r="AH991" s="33"/>
      <c r="AI991" s="245"/>
      <c r="AJ991" s="125"/>
      <c r="AK991" s="91"/>
      <c r="AL991" s="126"/>
      <c r="AM991" s="91"/>
      <c r="AN991" s="91"/>
      <c r="AO991" s="197">
        <f t="shared" si="63"/>
        <v>0</v>
      </c>
      <c r="AP991" s="126"/>
      <c r="AQ991" s="216"/>
      <c r="AR991" s="127"/>
      <c r="AS991" s="269"/>
      <c r="AT991" s="94"/>
      <c r="AU991" s="84"/>
      <c r="AV991" s="80"/>
      <c r="AW991" s="81"/>
      <c r="AX991" s="77"/>
      <c r="AY991" s="107"/>
      <c r="AZ991" s="220">
        <f t="shared" si="60"/>
        <v>0</v>
      </c>
      <c r="BA991" s="220">
        <f t="shared" si="61"/>
        <v>0</v>
      </c>
    </row>
    <row r="992" spans="1:53" ht="50.1" customHeight="1" x14ac:dyDescent="0.25">
      <c r="A992" s="17">
        <f t="shared" si="62"/>
        <v>978</v>
      </c>
      <c r="B992" s="229"/>
      <c r="C992" s="222"/>
      <c r="D992" s="112"/>
      <c r="E992" s="128"/>
      <c r="F992" s="129"/>
      <c r="G992" s="130"/>
      <c r="H992" s="131"/>
      <c r="I992" s="132"/>
      <c r="J992" s="108"/>
      <c r="K992" s="133"/>
      <c r="L992" s="134"/>
      <c r="M992" s="334"/>
      <c r="N992" s="343"/>
      <c r="O992" s="135"/>
      <c r="P992" s="82"/>
      <c r="Q992" s="135"/>
      <c r="R992" s="82"/>
      <c r="S992" s="299"/>
      <c r="T992" s="305"/>
      <c r="U992" s="298"/>
      <c r="V992" s="304"/>
      <c r="W992" s="249"/>
      <c r="X992" s="344"/>
      <c r="Y992" s="337"/>
      <c r="Z992" s="33"/>
      <c r="AA992" s="83"/>
      <c r="AB992" s="33"/>
      <c r="AC992" s="83"/>
      <c r="AD992" s="33"/>
      <c r="AE992" s="83"/>
      <c r="AF992" s="33"/>
      <c r="AG992" s="244"/>
      <c r="AH992" s="83"/>
      <c r="AI992" s="246"/>
      <c r="AJ992" s="102"/>
      <c r="AK992" s="92"/>
      <c r="AL992" s="91"/>
      <c r="AM992" s="92"/>
      <c r="AN992" s="351"/>
      <c r="AO992" s="197">
        <f t="shared" si="63"/>
        <v>0</v>
      </c>
      <c r="AP992" s="91"/>
      <c r="AQ992" s="217"/>
      <c r="AR992" s="103"/>
      <c r="AS992" s="264"/>
      <c r="AT992" s="94"/>
      <c r="AU992" s="84"/>
      <c r="AV992" s="136"/>
      <c r="AW992" s="77"/>
      <c r="AX992" s="137"/>
      <c r="AY992" s="138"/>
      <c r="AZ992" s="220">
        <f t="shared" si="60"/>
        <v>0</v>
      </c>
      <c r="BA992" s="220">
        <f t="shared" si="61"/>
        <v>0</v>
      </c>
    </row>
    <row r="993" spans="1:53" ht="50.1" customHeight="1" x14ac:dyDescent="0.25">
      <c r="A993" s="17">
        <f t="shared" si="62"/>
        <v>979</v>
      </c>
      <c r="B993" s="228"/>
      <c r="C993" s="221"/>
      <c r="D993" s="88"/>
      <c r="E993" s="100"/>
      <c r="F993" s="95"/>
      <c r="G993" s="114"/>
      <c r="H993" s="96"/>
      <c r="I993" s="97"/>
      <c r="J993" s="98"/>
      <c r="K993" s="101"/>
      <c r="L993" s="124"/>
      <c r="M993" s="333"/>
      <c r="N993" s="341"/>
      <c r="O993" s="82"/>
      <c r="P993" s="93"/>
      <c r="Q993" s="82"/>
      <c r="R993" s="93"/>
      <c r="S993" s="298"/>
      <c r="T993" s="304"/>
      <c r="U993" s="307"/>
      <c r="V993" s="309"/>
      <c r="W993" s="248"/>
      <c r="X993" s="342"/>
      <c r="Y993" s="336"/>
      <c r="Z993" s="123"/>
      <c r="AA993" s="33"/>
      <c r="AB993" s="123"/>
      <c r="AC993" s="33"/>
      <c r="AD993" s="123"/>
      <c r="AE993" s="33"/>
      <c r="AF993" s="123"/>
      <c r="AG993" s="243"/>
      <c r="AH993" s="33"/>
      <c r="AI993" s="245"/>
      <c r="AJ993" s="125"/>
      <c r="AK993" s="91"/>
      <c r="AL993" s="126"/>
      <c r="AM993" s="91"/>
      <c r="AN993" s="91"/>
      <c r="AO993" s="197">
        <f t="shared" si="63"/>
        <v>0</v>
      </c>
      <c r="AP993" s="126"/>
      <c r="AQ993" s="216"/>
      <c r="AR993" s="127"/>
      <c r="AS993" s="269"/>
      <c r="AT993" s="94"/>
      <c r="AU993" s="84"/>
      <c r="AV993" s="80"/>
      <c r="AW993" s="81"/>
      <c r="AX993" s="77"/>
      <c r="AY993" s="107"/>
      <c r="AZ993" s="220">
        <f t="shared" si="60"/>
        <v>0</v>
      </c>
      <c r="BA993" s="220">
        <f t="shared" si="61"/>
        <v>0</v>
      </c>
    </row>
    <row r="994" spans="1:53" ht="50.1" customHeight="1" x14ac:dyDescent="0.25">
      <c r="A994" s="17">
        <f t="shared" si="62"/>
        <v>980</v>
      </c>
      <c r="B994" s="229"/>
      <c r="C994" s="222"/>
      <c r="D994" s="112"/>
      <c r="E994" s="128"/>
      <c r="F994" s="129"/>
      <c r="G994" s="130"/>
      <c r="H994" s="131"/>
      <c r="I994" s="132"/>
      <c r="J994" s="108"/>
      <c r="K994" s="133"/>
      <c r="L994" s="134"/>
      <c r="M994" s="334"/>
      <c r="N994" s="343"/>
      <c r="O994" s="135"/>
      <c r="P994" s="82"/>
      <c r="Q994" s="135"/>
      <c r="R994" s="82"/>
      <c r="S994" s="299"/>
      <c r="T994" s="305"/>
      <c r="U994" s="298"/>
      <c r="V994" s="304"/>
      <c r="W994" s="249"/>
      <c r="X994" s="344"/>
      <c r="Y994" s="337"/>
      <c r="Z994" s="33"/>
      <c r="AA994" s="83"/>
      <c r="AB994" s="33"/>
      <c r="AC994" s="83"/>
      <c r="AD994" s="33"/>
      <c r="AE994" s="83"/>
      <c r="AF994" s="33"/>
      <c r="AG994" s="244"/>
      <c r="AH994" s="83"/>
      <c r="AI994" s="246"/>
      <c r="AJ994" s="102"/>
      <c r="AK994" s="92"/>
      <c r="AL994" s="91"/>
      <c r="AM994" s="92"/>
      <c r="AN994" s="351"/>
      <c r="AO994" s="197">
        <f t="shared" si="63"/>
        <v>0</v>
      </c>
      <c r="AP994" s="91"/>
      <c r="AQ994" s="217"/>
      <c r="AR994" s="103"/>
      <c r="AS994" s="264"/>
      <c r="AT994" s="94"/>
      <c r="AU994" s="84"/>
      <c r="AV994" s="136"/>
      <c r="AW994" s="77"/>
      <c r="AX994" s="137"/>
      <c r="AY994" s="138"/>
      <c r="AZ994" s="220">
        <f t="shared" si="60"/>
        <v>0</v>
      </c>
      <c r="BA994" s="220">
        <f t="shared" si="61"/>
        <v>0</v>
      </c>
    </row>
    <row r="995" spans="1:53" ht="50.1" customHeight="1" x14ac:dyDescent="0.25">
      <c r="A995" s="17">
        <f t="shared" si="62"/>
        <v>981</v>
      </c>
      <c r="B995" s="228"/>
      <c r="C995" s="221"/>
      <c r="D995" s="88"/>
      <c r="E995" s="100"/>
      <c r="F995" s="95"/>
      <c r="G995" s="114"/>
      <c r="H995" s="96"/>
      <c r="I995" s="97"/>
      <c r="J995" s="98"/>
      <c r="K995" s="101"/>
      <c r="L995" s="124"/>
      <c r="M995" s="333"/>
      <c r="N995" s="341"/>
      <c r="O995" s="82"/>
      <c r="P995" s="93"/>
      <c r="Q995" s="82"/>
      <c r="R995" s="93"/>
      <c r="S995" s="298"/>
      <c r="T995" s="304"/>
      <c r="U995" s="307"/>
      <c r="V995" s="309"/>
      <c r="W995" s="248"/>
      <c r="X995" s="342"/>
      <c r="Y995" s="336"/>
      <c r="Z995" s="123"/>
      <c r="AA995" s="33"/>
      <c r="AB995" s="123"/>
      <c r="AC995" s="33"/>
      <c r="AD995" s="123"/>
      <c r="AE995" s="33"/>
      <c r="AF995" s="123"/>
      <c r="AG995" s="243"/>
      <c r="AH995" s="33"/>
      <c r="AI995" s="245"/>
      <c r="AJ995" s="125"/>
      <c r="AK995" s="91"/>
      <c r="AL995" s="126"/>
      <c r="AM995" s="91"/>
      <c r="AN995" s="91"/>
      <c r="AO995" s="197">
        <f t="shared" si="63"/>
        <v>0</v>
      </c>
      <c r="AP995" s="126"/>
      <c r="AQ995" s="216"/>
      <c r="AR995" s="127"/>
      <c r="AS995" s="269"/>
      <c r="AT995" s="94"/>
      <c r="AU995" s="84"/>
      <c r="AV995" s="80"/>
      <c r="AW995" s="81"/>
      <c r="AX995" s="77"/>
      <c r="AY995" s="107"/>
      <c r="AZ995" s="220">
        <f t="shared" si="60"/>
        <v>0</v>
      </c>
      <c r="BA995" s="220">
        <f t="shared" si="61"/>
        <v>0</v>
      </c>
    </row>
    <row r="996" spans="1:53" ht="50.1" customHeight="1" x14ac:dyDescent="0.25">
      <c r="A996" s="17">
        <f t="shared" si="62"/>
        <v>982</v>
      </c>
      <c r="B996" s="229"/>
      <c r="C996" s="222"/>
      <c r="D996" s="112"/>
      <c r="E996" s="128"/>
      <c r="F996" s="129"/>
      <c r="G996" s="130"/>
      <c r="H996" s="131"/>
      <c r="I996" s="132"/>
      <c r="J996" s="108"/>
      <c r="K996" s="133"/>
      <c r="L996" s="134"/>
      <c r="M996" s="334"/>
      <c r="N996" s="343"/>
      <c r="O996" s="135"/>
      <c r="P996" s="82"/>
      <c r="Q996" s="135"/>
      <c r="R996" s="82"/>
      <c r="S996" s="299"/>
      <c r="T996" s="305"/>
      <c r="U996" s="298"/>
      <c r="V996" s="304"/>
      <c r="W996" s="249"/>
      <c r="X996" s="344"/>
      <c r="Y996" s="337"/>
      <c r="Z996" s="33"/>
      <c r="AA996" s="83"/>
      <c r="AB996" s="33"/>
      <c r="AC996" s="83"/>
      <c r="AD996" s="33"/>
      <c r="AE996" s="83"/>
      <c r="AF996" s="33"/>
      <c r="AG996" s="244"/>
      <c r="AH996" s="83"/>
      <c r="AI996" s="246"/>
      <c r="AJ996" s="102"/>
      <c r="AK996" s="92"/>
      <c r="AL996" s="91"/>
      <c r="AM996" s="92"/>
      <c r="AN996" s="351"/>
      <c r="AO996" s="197">
        <f t="shared" si="63"/>
        <v>0</v>
      </c>
      <c r="AP996" s="91"/>
      <c r="AQ996" s="217"/>
      <c r="AR996" s="103"/>
      <c r="AS996" s="264"/>
      <c r="AT996" s="94"/>
      <c r="AU996" s="84"/>
      <c r="AV996" s="136"/>
      <c r="AW996" s="77"/>
      <c r="AX996" s="137"/>
      <c r="AY996" s="138"/>
      <c r="AZ996" s="220">
        <f t="shared" si="60"/>
        <v>0</v>
      </c>
      <c r="BA996" s="220">
        <f t="shared" si="61"/>
        <v>0</v>
      </c>
    </row>
    <row r="997" spans="1:53" ht="50.1" customHeight="1" x14ac:dyDescent="0.25">
      <c r="A997" s="17">
        <f t="shared" si="62"/>
        <v>983</v>
      </c>
      <c r="B997" s="228"/>
      <c r="C997" s="221"/>
      <c r="D997" s="88"/>
      <c r="E997" s="100"/>
      <c r="F997" s="95"/>
      <c r="G997" s="114"/>
      <c r="H997" s="96"/>
      <c r="I997" s="97"/>
      <c r="J997" s="98"/>
      <c r="K997" s="101"/>
      <c r="L997" s="124"/>
      <c r="M997" s="333"/>
      <c r="N997" s="341"/>
      <c r="O997" s="82"/>
      <c r="P997" s="93"/>
      <c r="Q997" s="82"/>
      <c r="R997" s="93"/>
      <c r="S997" s="298"/>
      <c r="T997" s="304"/>
      <c r="U997" s="307"/>
      <c r="V997" s="309"/>
      <c r="W997" s="248"/>
      <c r="X997" s="342"/>
      <c r="Y997" s="336"/>
      <c r="Z997" s="123"/>
      <c r="AA997" s="33"/>
      <c r="AB997" s="123"/>
      <c r="AC997" s="33"/>
      <c r="AD997" s="123"/>
      <c r="AE997" s="33"/>
      <c r="AF997" s="123"/>
      <c r="AG997" s="243"/>
      <c r="AH997" s="33"/>
      <c r="AI997" s="245"/>
      <c r="AJ997" s="125"/>
      <c r="AK997" s="91"/>
      <c r="AL997" s="126"/>
      <c r="AM997" s="91"/>
      <c r="AN997" s="91"/>
      <c r="AO997" s="197">
        <f t="shared" si="63"/>
        <v>0</v>
      </c>
      <c r="AP997" s="126"/>
      <c r="AQ997" s="216"/>
      <c r="AR997" s="127"/>
      <c r="AS997" s="269"/>
      <c r="AT997" s="94"/>
      <c r="AU997" s="84"/>
      <c r="AV997" s="80"/>
      <c r="AW997" s="81"/>
      <c r="AX997" s="77"/>
      <c r="AY997" s="107"/>
      <c r="AZ997" s="220">
        <f t="shared" si="60"/>
        <v>0</v>
      </c>
      <c r="BA997" s="220">
        <f t="shared" si="61"/>
        <v>0</v>
      </c>
    </row>
    <row r="998" spans="1:53" ht="50.1" customHeight="1" x14ac:dyDescent="0.25">
      <c r="A998" s="17">
        <f t="shared" si="62"/>
        <v>984</v>
      </c>
      <c r="B998" s="229"/>
      <c r="C998" s="222"/>
      <c r="D998" s="112"/>
      <c r="E998" s="128"/>
      <c r="F998" s="129"/>
      <c r="G998" s="130"/>
      <c r="H998" s="131"/>
      <c r="I998" s="132"/>
      <c r="J998" s="108"/>
      <c r="K998" s="133"/>
      <c r="L998" s="134"/>
      <c r="M998" s="334"/>
      <c r="N998" s="343"/>
      <c r="O998" s="135"/>
      <c r="P998" s="82"/>
      <c r="Q998" s="135"/>
      <c r="R998" s="82"/>
      <c r="S998" s="299"/>
      <c r="T998" s="305"/>
      <c r="U998" s="298"/>
      <c r="V998" s="304"/>
      <c r="W998" s="249"/>
      <c r="X998" s="344"/>
      <c r="Y998" s="337"/>
      <c r="Z998" s="33"/>
      <c r="AA998" s="83"/>
      <c r="AB998" s="33"/>
      <c r="AC998" s="83"/>
      <c r="AD998" s="33"/>
      <c r="AE998" s="83"/>
      <c r="AF998" s="33"/>
      <c r="AG998" s="244"/>
      <c r="AH998" s="83"/>
      <c r="AI998" s="246"/>
      <c r="AJ998" s="102"/>
      <c r="AK998" s="92"/>
      <c r="AL998" s="91"/>
      <c r="AM998" s="92"/>
      <c r="AN998" s="351"/>
      <c r="AO998" s="197">
        <f t="shared" si="63"/>
        <v>0</v>
      </c>
      <c r="AP998" s="91"/>
      <c r="AQ998" s="217"/>
      <c r="AR998" s="103"/>
      <c r="AS998" s="264"/>
      <c r="AT998" s="94"/>
      <c r="AU998" s="84"/>
      <c r="AV998" s="136"/>
      <c r="AW998" s="77"/>
      <c r="AX998" s="137"/>
      <c r="AY998" s="138"/>
      <c r="AZ998" s="220">
        <f t="shared" si="60"/>
        <v>0</v>
      </c>
      <c r="BA998" s="220">
        <f t="shared" si="61"/>
        <v>0</v>
      </c>
    </row>
    <row r="999" spans="1:53" ht="50.1" customHeight="1" x14ac:dyDescent="0.25">
      <c r="A999" s="17">
        <f t="shared" si="62"/>
        <v>985</v>
      </c>
      <c r="B999" s="228"/>
      <c r="C999" s="221"/>
      <c r="D999" s="88"/>
      <c r="E999" s="100"/>
      <c r="F999" s="95"/>
      <c r="G999" s="114"/>
      <c r="H999" s="96"/>
      <c r="I999" s="97"/>
      <c r="J999" s="98"/>
      <c r="K999" s="101"/>
      <c r="L999" s="124"/>
      <c r="M999" s="333"/>
      <c r="N999" s="341"/>
      <c r="O999" s="82"/>
      <c r="P999" s="93"/>
      <c r="Q999" s="82"/>
      <c r="R999" s="93"/>
      <c r="S999" s="298"/>
      <c r="T999" s="304"/>
      <c r="U999" s="307"/>
      <c r="V999" s="309"/>
      <c r="W999" s="248"/>
      <c r="X999" s="342"/>
      <c r="Y999" s="336"/>
      <c r="Z999" s="123"/>
      <c r="AA999" s="33"/>
      <c r="AB999" s="123"/>
      <c r="AC999" s="33"/>
      <c r="AD999" s="123"/>
      <c r="AE999" s="33"/>
      <c r="AF999" s="123"/>
      <c r="AG999" s="243"/>
      <c r="AH999" s="33"/>
      <c r="AI999" s="245"/>
      <c r="AJ999" s="125"/>
      <c r="AK999" s="91"/>
      <c r="AL999" s="126"/>
      <c r="AM999" s="91"/>
      <c r="AN999" s="91"/>
      <c r="AO999" s="197">
        <f t="shared" si="63"/>
        <v>0</v>
      </c>
      <c r="AP999" s="126"/>
      <c r="AQ999" s="216"/>
      <c r="AR999" s="127"/>
      <c r="AS999" s="269"/>
      <c r="AT999" s="94"/>
      <c r="AU999" s="84"/>
      <c r="AV999" s="80"/>
      <c r="AW999" s="81"/>
      <c r="AX999" s="77"/>
      <c r="AY999" s="107"/>
      <c r="AZ999" s="220">
        <f t="shared" si="60"/>
        <v>0</v>
      </c>
      <c r="BA999" s="220">
        <f t="shared" si="61"/>
        <v>0</v>
      </c>
    </row>
    <row r="1000" spans="1:53" ht="50.1" customHeight="1" x14ac:dyDescent="0.25">
      <c r="A1000" s="17">
        <f t="shared" si="62"/>
        <v>986</v>
      </c>
      <c r="B1000" s="229"/>
      <c r="C1000" s="222"/>
      <c r="D1000" s="112"/>
      <c r="E1000" s="128"/>
      <c r="F1000" s="129"/>
      <c r="G1000" s="130"/>
      <c r="H1000" s="131"/>
      <c r="I1000" s="132"/>
      <c r="J1000" s="108"/>
      <c r="K1000" s="133"/>
      <c r="L1000" s="134"/>
      <c r="M1000" s="334"/>
      <c r="N1000" s="343"/>
      <c r="O1000" s="135"/>
      <c r="P1000" s="82"/>
      <c r="Q1000" s="135"/>
      <c r="R1000" s="82"/>
      <c r="S1000" s="299"/>
      <c r="T1000" s="305"/>
      <c r="U1000" s="298"/>
      <c r="V1000" s="304"/>
      <c r="W1000" s="249"/>
      <c r="X1000" s="344"/>
      <c r="Y1000" s="337"/>
      <c r="Z1000" s="33"/>
      <c r="AA1000" s="83"/>
      <c r="AB1000" s="33"/>
      <c r="AC1000" s="83"/>
      <c r="AD1000" s="33"/>
      <c r="AE1000" s="83"/>
      <c r="AF1000" s="33"/>
      <c r="AG1000" s="244"/>
      <c r="AH1000" s="83"/>
      <c r="AI1000" s="246"/>
      <c r="AJ1000" s="102"/>
      <c r="AK1000" s="92"/>
      <c r="AL1000" s="91"/>
      <c r="AM1000" s="92"/>
      <c r="AN1000" s="351"/>
      <c r="AO1000" s="197">
        <f t="shared" si="63"/>
        <v>0</v>
      </c>
      <c r="AP1000" s="91"/>
      <c r="AQ1000" s="217"/>
      <c r="AR1000" s="103"/>
      <c r="AS1000" s="264"/>
      <c r="AT1000" s="94"/>
      <c r="AU1000" s="84"/>
      <c r="AV1000" s="136"/>
      <c r="AW1000" s="77"/>
      <c r="AX1000" s="137"/>
      <c r="AY1000" s="138"/>
      <c r="AZ1000" s="220">
        <f t="shared" si="60"/>
        <v>0</v>
      </c>
      <c r="BA1000" s="220">
        <f t="shared" si="61"/>
        <v>0</v>
      </c>
    </row>
    <row r="1001" spans="1:53" ht="50.1" customHeight="1" x14ac:dyDescent="0.25">
      <c r="A1001" s="17">
        <f t="shared" si="62"/>
        <v>987</v>
      </c>
      <c r="B1001" s="228"/>
      <c r="C1001" s="221"/>
      <c r="D1001" s="88"/>
      <c r="E1001" s="100"/>
      <c r="F1001" s="95"/>
      <c r="G1001" s="114"/>
      <c r="H1001" s="96"/>
      <c r="I1001" s="97"/>
      <c r="J1001" s="98"/>
      <c r="K1001" s="101"/>
      <c r="L1001" s="124"/>
      <c r="M1001" s="333"/>
      <c r="N1001" s="341"/>
      <c r="O1001" s="82"/>
      <c r="P1001" s="93"/>
      <c r="Q1001" s="82"/>
      <c r="R1001" s="93"/>
      <c r="S1001" s="298"/>
      <c r="T1001" s="304"/>
      <c r="U1001" s="307"/>
      <c r="V1001" s="309"/>
      <c r="W1001" s="248"/>
      <c r="X1001" s="342"/>
      <c r="Y1001" s="336"/>
      <c r="Z1001" s="123"/>
      <c r="AA1001" s="33"/>
      <c r="AB1001" s="123"/>
      <c r="AC1001" s="33"/>
      <c r="AD1001" s="123"/>
      <c r="AE1001" s="33"/>
      <c r="AF1001" s="123"/>
      <c r="AG1001" s="243"/>
      <c r="AH1001" s="33"/>
      <c r="AI1001" s="245"/>
      <c r="AJ1001" s="125"/>
      <c r="AK1001" s="91"/>
      <c r="AL1001" s="126"/>
      <c r="AM1001" s="91"/>
      <c r="AN1001" s="91"/>
      <c r="AO1001" s="197">
        <f t="shared" si="63"/>
        <v>0</v>
      </c>
      <c r="AP1001" s="126"/>
      <c r="AQ1001" s="216"/>
      <c r="AR1001" s="127"/>
      <c r="AS1001" s="269"/>
      <c r="AT1001" s="94"/>
      <c r="AU1001" s="84"/>
      <c r="AV1001" s="80"/>
      <c r="AW1001" s="81"/>
      <c r="AX1001" s="77"/>
      <c r="AY1001" s="107"/>
      <c r="AZ1001" s="220">
        <f t="shared" si="60"/>
        <v>0</v>
      </c>
      <c r="BA1001" s="220">
        <f t="shared" si="61"/>
        <v>0</v>
      </c>
    </row>
    <row r="1002" spans="1:53" ht="50.1" customHeight="1" x14ac:dyDescent="0.25">
      <c r="A1002" s="17">
        <f t="shared" si="62"/>
        <v>988</v>
      </c>
      <c r="B1002" s="229"/>
      <c r="C1002" s="222"/>
      <c r="D1002" s="112"/>
      <c r="E1002" s="128"/>
      <c r="F1002" s="129"/>
      <c r="G1002" s="130"/>
      <c r="H1002" s="131"/>
      <c r="I1002" s="132"/>
      <c r="J1002" s="108"/>
      <c r="K1002" s="133"/>
      <c r="L1002" s="134"/>
      <c r="M1002" s="334"/>
      <c r="N1002" s="343"/>
      <c r="O1002" s="135"/>
      <c r="P1002" s="82"/>
      <c r="Q1002" s="135"/>
      <c r="R1002" s="82"/>
      <c r="S1002" s="299"/>
      <c r="T1002" s="305"/>
      <c r="U1002" s="298"/>
      <c r="V1002" s="304"/>
      <c r="W1002" s="249"/>
      <c r="X1002" s="344"/>
      <c r="Y1002" s="337"/>
      <c r="Z1002" s="33"/>
      <c r="AA1002" s="83"/>
      <c r="AB1002" s="33"/>
      <c r="AC1002" s="83"/>
      <c r="AD1002" s="33"/>
      <c r="AE1002" s="83"/>
      <c r="AF1002" s="33"/>
      <c r="AG1002" s="244"/>
      <c r="AH1002" s="83"/>
      <c r="AI1002" s="246"/>
      <c r="AJ1002" s="102"/>
      <c r="AK1002" s="92"/>
      <c r="AL1002" s="91"/>
      <c r="AM1002" s="92"/>
      <c r="AN1002" s="351"/>
      <c r="AO1002" s="197">
        <f t="shared" si="63"/>
        <v>0</v>
      </c>
      <c r="AP1002" s="91"/>
      <c r="AQ1002" s="217"/>
      <c r="AR1002" s="103"/>
      <c r="AS1002" s="264"/>
      <c r="AT1002" s="94"/>
      <c r="AU1002" s="84"/>
      <c r="AV1002" s="136"/>
      <c r="AW1002" s="77"/>
      <c r="AX1002" s="137"/>
      <c r="AY1002" s="138"/>
      <c r="AZ1002" s="220">
        <f t="shared" si="60"/>
        <v>0</v>
      </c>
      <c r="BA1002" s="220">
        <f t="shared" si="61"/>
        <v>0</v>
      </c>
    </row>
    <row r="1003" spans="1:53" ht="50.1" customHeight="1" x14ac:dyDescent="0.25">
      <c r="A1003" s="17">
        <f t="shared" si="62"/>
        <v>989</v>
      </c>
      <c r="B1003" s="228"/>
      <c r="C1003" s="221"/>
      <c r="D1003" s="88"/>
      <c r="E1003" s="100"/>
      <c r="F1003" s="95"/>
      <c r="G1003" s="114"/>
      <c r="H1003" s="96"/>
      <c r="I1003" s="97"/>
      <c r="J1003" s="98"/>
      <c r="K1003" s="101"/>
      <c r="L1003" s="124"/>
      <c r="M1003" s="333"/>
      <c r="N1003" s="341"/>
      <c r="O1003" s="82"/>
      <c r="P1003" s="93"/>
      <c r="Q1003" s="82"/>
      <c r="R1003" s="93"/>
      <c r="S1003" s="298"/>
      <c r="T1003" s="304"/>
      <c r="U1003" s="307"/>
      <c r="V1003" s="309"/>
      <c r="W1003" s="248"/>
      <c r="X1003" s="342"/>
      <c r="Y1003" s="336"/>
      <c r="Z1003" s="123"/>
      <c r="AA1003" s="33"/>
      <c r="AB1003" s="123"/>
      <c r="AC1003" s="33"/>
      <c r="AD1003" s="123"/>
      <c r="AE1003" s="33"/>
      <c r="AF1003" s="123"/>
      <c r="AG1003" s="243"/>
      <c r="AH1003" s="33"/>
      <c r="AI1003" s="245"/>
      <c r="AJ1003" s="125"/>
      <c r="AK1003" s="91"/>
      <c r="AL1003" s="126"/>
      <c r="AM1003" s="91"/>
      <c r="AN1003" s="91"/>
      <c r="AO1003" s="197">
        <f t="shared" si="63"/>
        <v>0</v>
      </c>
      <c r="AP1003" s="126"/>
      <c r="AQ1003" s="216"/>
      <c r="AR1003" s="127"/>
      <c r="AS1003" s="269"/>
      <c r="AT1003" s="94"/>
      <c r="AU1003" s="84"/>
      <c r="AV1003" s="80"/>
      <c r="AW1003" s="81"/>
      <c r="AX1003" s="77"/>
      <c r="AY1003" s="107"/>
      <c r="AZ1003" s="220">
        <f t="shared" si="60"/>
        <v>0</v>
      </c>
      <c r="BA1003" s="220">
        <f t="shared" si="61"/>
        <v>0</v>
      </c>
    </row>
    <row r="1004" spans="1:53" ht="50.1" customHeight="1" x14ac:dyDescent="0.25">
      <c r="A1004" s="17">
        <f t="shared" si="62"/>
        <v>990</v>
      </c>
      <c r="B1004" s="229"/>
      <c r="C1004" s="222"/>
      <c r="D1004" s="112"/>
      <c r="E1004" s="128"/>
      <c r="F1004" s="129"/>
      <c r="G1004" s="130"/>
      <c r="H1004" s="131"/>
      <c r="I1004" s="132"/>
      <c r="J1004" s="108"/>
      <c r="K1004" s="133"/>
      <c r="L1004" s="134"/>
      <c r="M1004" s="334"/>
      <c r="N1004" s="343"/>
      <c r="O1004" s="135"/>
      <c r="P1004" s="82"/>
      <c r="Q1004" s="135"/>
      <c r="R1004" s="82"/>
      <c r="S1004" s="299"/>
      <c r="T1004" s="305"/>
      <c r="U1004" s="298"/>
      <c r="V1004" s="304"/>
      <c r="W1004" s="249"/>
      <c r="X1004" s="344"/>
      <c r="Y1004" s="337"/>
      <c r="Z1004" s="33"/>
      <c r="AA1004" s="83"/>
      <c r="AB1004" s="33"/>
      <c r="AC1004" s="83"/>
      <c r="AD1004" s="33"/>
      <c r="AE1004" s="83"/>
      <c r="AF1004" s="33"/>
      <c r="AG1004" s="244"/>
      <c r="AH1004" s="83"/>
      <c r="AI1004" s="246"/>
      <c r="AJ1004" s="102"/>
      <c r="AK1004" s="92"/>
      <c r="AL1004" s="91"/>
      <c r="AM1004" s="92"/>
      <c r="AN1004" s="351"/>
      <c r="AO1004" s="197">
        <f t="shared" si="63"/>
        <v>0</v>
      </c>
      <c r="AP1004" s="91"/>
      <c r="AQ1004" s="217"/>
      <c r="AR1004" s="103"/>
      <c r="AS1004" s="264"/>
      <c r="AT1004" s="94"/>
      <c r="AU1004" s="84"/>
      <c r="AV1004" s="136"/>
      <c r="AW1004" s="77"/>
      <c r="AX1004" s="137"/>
      <c r="AY1004" s="138"/>
      <c r="AZ1004" s="220">
        <f t="shared" si="60"/>
        <v>0</v>
      </c>
      <c r="BA1004" s="220">
        <f t="shared" si="61"/>
        <v>0</v>
      </c>
    </row>
    <row r="1005" spans="1:53" ht="50.1" customHeight="1" x14ac:dyDescent="0.25">
      <c r="A1005" s="17">
        <f t="shared" si="62"/>
        <v>991</v>
      </c>
      <c r="B1005" s="228"/>
      <c r="C1005" s="221"/>
      <c r="D1005" s="88"/>
      <c r="E1005" s="100"/>
      <c r="F1005" s="95"/>
      <c r="G1005" s="114"/>
      <c r="H1005" s="96"/>
      <c r="I1005" s="97"/>
      <c r="J1005" s="98"/>
      <c r="K1005" s="101"/>
      <c r="L1005" s="124"/>
      <c r="M1005" s="333"/>
      <c r="N1005" s="346"/>
      <c r="O1005" s="82"/>
      <c r="P1005" s="93"/>
      <c r="Q1005" s="82"/>
      <c r="R1005" s="93"/>
      <c r="S1005" s="298"/>
      <c r="T1005" s="304"/>
      <c r="U1005" s="307"/>
      <c r="V1005" s="309"/>
      <c r="W1005" s="248"/>
      <c r="X1005" s="342"/>
      <c r="Y1005" s="336"/>
      <c r="Z1005" s="123"/>
      <c r="AA1005" s="33"/>
      <c r="AB1005" s="123"/>
      <c r="AC1005" s="33"/>
      <c r="AD1005" s="123"/>
      <c r="AE1005" s="33"/>
      <c r="AF1005" s="123"/>
      <c r="AG1005" s="243"/>
      <c r="AH1005" s="33"/>
      <c r="AI1005" s="245"/>
      <c r="AJ1005" s="125"/>
      <c r="AK1005" s="91"/>
      <c r="AL1005" s="126"/>
      <c r="AM1005" s="91"/>
      <c r="AN1005" s="91"/>
      <c r="AO1005" s="197">
        <f t="shared" si="63"/>
        <v>0</v>
      </c>
      <c r="AP1005" s="126"/>
      <c r="AQ1005" s="216"/>
      <c r="AR1005" s="127"/>
      <c r="AS1005" s="269"/>
      <c r="AT1005" s="94"/>
      <c r="AU1005" s="84"/>
      <c r="AV1005" s="80"/>
      <c r="AW1005" s="81"/>
      <c r="AX1005" s="77"/>
      <c r="AY1005" s="107"/>
      <c r="AZ1005" s="220">
        <f t="shared" si="60"/>
        <v>0</v>
      </c>
      <c r="BA1005" s="220">
        <f t="shared" si="61"/>
        <v>0</v>
      </c>
    </row>
    <row r="1006" spans="1:53" ht="50.1" customHeight="1" x14ac:dyDescent="0.25">
      <c r="A1006" s="17">
        <f t="shared" si="62"/>
        <v>992</v>
      </c>
      <c r="B1006" s="229"/>
      <c r="C1006" s="222"/>
      <c r="D1006" s="112"/>
      <c r="E1006" s="128"/>
      <c r="F1006" s="129"/>
      <c r="G1006" s="130"/>
      <c r="H1006" s="131"/>
      <c r="I1006" s="132"/>
      <c r="J1006" s="108"/>
      <c r="K1006" s="133"/>
      <c r="L1006" s="134"/>
      <c r="M1006" s="334"/>
      <c r="N1006" s="343"/>
      <c r="O1006" s="135"/>
      <c r="P1006" s="82"/>
      <c r="Q1006" s="135"/>
      <c r="R1006" s="82"/>
      <c r="S1006" s="299"/>
      <c r="T1006" s="305"/>
      <c r="U1006" s="298"/>
      <c r="V1006" s="304"/>
      <c r="W1006" s="249"/>
      <c r="X1006" s="344"/>
      <c r="Y1006" s="337"/>
      <c r="Z1006" s="33"/>
      <c r="AA1006" s="83"/>
      <c r="AB1006" s="33"/>
      <c r="AC1006" s="83"/>
      <c r="AD1006" s="33"/>
      <c r="AE1006" s="83"/>
      <c r="AF1006" s="33"/>
      <c r="AG1006" s="244"/>
      <c r="AH1006" s="83"/>
      <c r="AI1006" s="246"/>
      <c r="AJ1006" s="102"/>
      <c r="AK1006" s="92"/>
      <c r="AL1006" s="91"/>
      <c r="AM1006" s="92"/>
      <c r="AN1006" s="351"/>
      <c r="AO1006" s="197">
        <f t="shared" si="63"/>
        <v>0</v>
      </c>
      <c r="AP1006" s="91"/>
      <c r="AQ1006" s="217"/>
      <c r="AR1006" s="103"/>
      <c r="AS1006" s="264"/>
      <c r="AT1006" s="94"/>
      <c r="AU1006" s="84"/>
      <c r="AV1006" s="136"/>
      <c r="AW1006" s="77"/>
      <c r="AX1006" s="137"/>
      <c r="AY1006" s="138"/>
      <c r="AZ1006" s="220">
        <f t="shared" si="60"/>
        <v>0</v>
      </c>
      <c r="BA1006" s="220">
        <f t="shared" si="61"/>
        <v>0</v>
      </c>
    </row>
    <row r="1007" spans="1:53" ht="50.1" customHeight="1" x14ac:dyDescent="0.25">
      <c r="A1007" s="17">
        <f t="shared" si="62"/>
        <v>993</v>
      </c>
      <c r="B1007" s="228"/>
      <c r="C1007" s="221"/>
      <c r="D1007" s="88"/>
      <c r="E1007" s="100"/>
      <c r="F1007" s="95"/>
      <c r="G1007" s="114"/>
      <c r="H1007" s="96"/>
      <c r="I1007" s="97"/>
      <c r="J1007" s="98"/>
      <c r="K1007" s="101"/>
      <c r="L1007" s="124"/>
      <c r="M1007" s="333"/>
      <c r="N1007" s="341"/>
      <c r="O1007" s="82"/>
      <c r="P1007" s="93"/>
      <c r="Q1007" s="82"/>
      <c r="R1007" s="93"/>
      <c r="S1007" s="298"/>
      <c r="T1007" s="304"/>
      <c r="U1007" s="307"/>
      <c r="V1007" s="309"/>
      <c r="W1007" s="248"/>
      <c r="X1007" s="342"/>
      <c r="Y1007" s="336"/>
      <c r="Z1007" s="123"/>
      <c r="AA1007" s="33"/>
      <c r="AB1007" s="123"/>
      <c r="AC1007" s="33"/>
      <c r="AD1007" s="123"/>
      <c r="AE1007" s="33"/>
      <c r="AF1007" s="123"/>
      <c r="AG1007" s="243"/>
      <c r="AH1007" s="33"/>
      <c r="AI1007" s="245"/>
      <c r="AJ1007" s="125"/>
      <c r="AK1007" s="91"/>
      <c r="AL1007" s="126"/>
      <c r="AM1007" s="91"/>
      <c r="AN1007" s="91"/>
      <c r="AO1007" s="197">
        <f t="shared" si="63"/>
        <v>0</v>
      </c>
      <c r="AP1007" s="126"/>
      <c r="AQ1007" s="216"/>
      <c r="AR1007" s="127"/>
      <c r="AS1007" s="269"/>
      <c r="AT1007" s="94"/>
      <c r="AU1007" s="84"/>
      <c r="AV1007" s="80"/>
      <c r="AW1007" s="81"/>
      <c r="AX1007" s="77"/>
      <c r="AY1007" s="107"/>
      <c r="AZ1007" s="220">
        <f t="shared" si="60"/>
        <v>0</v>
      </c>
      <c r="BA1007" s="220">
        <f t="shared" si="61"/>
        <v>0</v>
      </c>
    </row>
    <row r="1008" spans="1:53" ht="50.1" customHeight="1" x14ac:dyDescent="0.25">
      <c r="A1008" s="17">
        <f t="shared" si="62"/>
        <v>994</v>
      </c>
      <c r="B1008" s="229"/>
      <c r="C1008" s="222"/>
      <c r="D1008" s="112"/>
      <c r="E1008" s="128"/>
      <c r="F1008" s="129"/>
      <c r="G1008" s="130"/>
      <c r="H1008" s="131"/>
      <c r="I1008" s="132"/>
      <c r="J1008" s="108"/>
      <c r="K1008" s="133"/>
      <c r="L1008" s="134"/>
      <c r="M1008" s="334"/>
      <c r="N1008" s="343"/>
      <c r="O1008" s="135"/>
      <c r="P1008" s="82"/>
      <c r="Q1008" s="135"/>
      <c r="R1008" s="82"/>
      <c r="S1008" s="299"/>
      <c r="T1008" s="305"/>
      <c r="U1008" s="298"/>
      <c r="V1008" s="304"/>
      <c r="W1008" s="249"/>
      <c r="X1008" s="344"/>
      <c r="Y1008" s="337"/>
      <c r="Z1008" s="33"/>
      <c r="AA1008" s="83"/>
      <c r="AB1008" s="33"/>
      <c r="AC1008" s="83"/>
      <c r="AD1008" s="33"/>
      <c r="AE1008" s="83"/>
      <c r="AF1008" s="33"/>
      <c r="AG1008" s="244"/>
      <c r="AH1008" s="83"/>
      <c r="AI1008" s="246"/>
      <c r="AJ1008" s="102"/>
      <c r="AK1008" s="92"/>
      <c r="AL1008" s="91"/>
      <c r="AM1008" s="92"/>
      <c r="AN1008" s="351"/>
      <c r="AO1008" s="197">
        <f t="shared" si="63"/>
        <v>0</v>
      </c>
      <c r="AP1008" s="91"/>
      <c r="AQ1008" s="217"/>
      <c r="AR1008" s="103"/>
      <c r="AS1008" s="264"/>
      <c r="AT1008" s="94"/>
      <c r="AU1008" s="84"/>
      <c r="AV1008" s="136"/>
      <c r="AW1008" s="77"/>
      <c r="AX1008" s="137"/>
      <c r="AY1008" s="138"/>
      <c r="AZ1008" s="220">
        <f t="shared" si="60"/>
        <v>0</v>
      </c>
      <c r="BA1008" s="220">
        <f t="shared" si="61"/>
        <v>0</v>
      </c>
    </row>
    <row r="1009" spans="1:53" ht="50.1" customHeight="1" x14ac:dyDescent="0.25">
      <c r="A1009" s="17">
        <f t="shared" si="62"/>
        <v>995</v>
      </c>
      <c r="B1009" s="228"/>
      <c r="C1009" s="221"/>
      <c r="D1009" s="88"/>
      <c r="E1009" s="100"/>
      <c r="F1009" s="95"/>
      <c r="G1009" s="114"/>
      <c r="H1009" s="96"/>
      <c r="I1009" s="97"/>
      <c r="J1009" s="98"/>
      <c r="K1009" s="101"/>
      <c r="L1009" s="124"/>
      <c r="M1009" s="333"/>
      <c r="N1009" s="341"/>
      <c r="O1009" s="82"/>
      <c r="P1009" s="93"/>
      <c r="Q1009" s="82"/>
      <c r="R1009" s="93"/>
      <c r="S1009" s="298"/>
      <c r="T1009" s="304"/>
      <c r="U1009" s="307"/>
      <c r="V1009" s="309"/>
      <c r="W1009" s="248"/>
      <c r="X1009" s="342"/>
      <c r="Y1009" s="336"/>
      <c r="Z1009" s="123"/>
      <c r="AA1009" s="33"/>
      <c r="AB1009" s="123"/>
      <c r="AC1009" s="33"/>
      <c r="AD1009" s="123"/>
      <c r="AE1009" s="33"/>
      <c r="AF1009" s="123"/>
      <c r="AG1009" s="243"/>
      <c r="AH1009" s="33"/>
      <c r="AI1009" s="245"/>
      <c r="AJ1009" s="125"/>
      <c r="AK1009" s="91"/>
      <c r="AL1009" s="126"/>
      <c r="AM1009" s="91"/>
      <c r="AN1009" s="91"/>
      <c r="AO1009" s="197">
        <f t="shared" si="63"/>
        <v>0</v>
      </c>
      <c r="AP1009" s="126"/>
      <c r="AQ1009" s="216"/>
      <c r="AR1009" s="127"/>
      <c r="AS1009" s="269"/>
      <c r="AT1009" s="94"/>
      <c r="AU1009" s="84"/>
      <c r="AV1009" s="80"/>
      <c r="AW1009" s="81"/>
      <c r="AX1009" s="77"/>
      <c r="AY1009" s="107"/>
      <c r="AZ1009" s="220">
        <f t="shared" si="60"/>
        <v>0</v>
      </c>
      <c r="BA1009" s="220">
        <f t="shared" si="61"/>
        <v>0</v>
      </c>
    </row>
    <row r="1010" spans="1:53" ht="50.1" customHeight="1" x14ac:dyDescent="0.25">
      <c r="A1010" s="17">
        <f t="shared" si="62"/>
        <v>996</v>
      </c>
      <c r="B1010" s="229"/>
      <c r="C1010" s="222"/>
      <c r="D1010" s="112"/>
      <c r="E1010" s="128"/>
      <c r="F1010" s="129"/>
      <c r="G1010" s="130"/>
      <c r="H1010" s="131"/>
      <c r="I1010" s="132"/>
      <c r="J1010" s="108"/>
      <c r="K1010" s="133"/>
      <c r="L1010" s="134"/>
      <c r="M1010" s="334"/>
      <c r="N1010" s="343"/>
      <c r="O1010" s="135"/>
      <c r="P1010" s="82"/>
      <c r="Q1010" s="135"/>
      <c r="R1010" s="82"/>
      <c r="S1010" s="299"/>
      <c r="T1010" s="305"/>
      <c r="U1010" s="298"/>
      <c r="V1010" s="304"/>
      <c r="W1010" s="249"/>
      <c r="X1010" s="344"/>
      <c r="Y1010" s="337"/>
      <c r="Z1010" s="33"/>
      <c r="AA1010" s="83"/>
      <c r="AB1010" s="33"/>
      <c r="AC1010" s="83"/>
      <c r="AD1010" s="33"/>
      <c r="AE1010" s="83"/>
      <c r="AF1010" s="33"/>
      <c r="AG1010" s="244"/>
      <c r="AH1010" s="83"/>
      <c r="AI1010" s="246"/>
      <c r="AJ1010" s="102"/>
      <c r="AK1010" s="92"/>
      <c r="AL1010" s="91"/>
      <c r="AM1010" s="92"/>
      <c r="AN1010" s="351"/>
      <c r="AO1010" s="197">
        <f t="shared" si="63"/>
        <v>0</v>
      </c>
      <c r="AP1010" s="91"/>
      <c r="AQ1010" s="217"/>
      <c r="AR1010" s="103"/>
      <c r="AS1010" s="264"/>
      <c r="AT1010" s="94"/>
      <c r="AU1010" s="84"/>
      <c r="AV1010" s="136"/>
      <c r="AW1010" s="77"/>
      <c r="AX1010" s="137"/>
      <c r="AY1010" s="138"/>
      <c r="AZ1010" s="220">
        <f t="shared" si="60"/>
        <v>0</v>
      </c>
      <c r="BA1010" s="220">
        <f t="shared" si="61"/>
        <v>0</v>
      </c>
    </row>
    <row r="1011" spans="1:53" ht="50.1" customHeight="1" x14ac:dyDescent="0.25">
      <c r="A1011" s="17">
        <f t="shared" si="62"/>
        <v>997</v>
      </c>
      <c r="B1011" s="228"/>
      <c r="C1011" s="221"/>
      <c r="D1011" s="88"/>
      <c r="E1011" s="100"/>
      <c r="F1011" s="95"/>
      <c r="G1011" s="114"/>
      <c r="H1011" s="96"/>
      <c r="I1011" s="97"/>
      <c r="J1011" s="98"/>
      <c r="K1011" s="101"/>
      <c r="L1011" s="124"/>
      <c r="M1011" s="333"/>
      <c r="N1011" s="341"/>
      <c r="O1011" s="82"/>
      <c r="P1011" s="93"/>
      <c r="Q1011" s="82"/>
      <c r="R1011" s="93"/>
      <c r="S1011" s="298"/>
      <c r="T1011" s="304"/>
      <c r="U1011" s="307"/>
      <c r="V1011" s="309"/>
      <c r="W1011" s="248"/>
      <c r="X1011" s="342"/>
      <c r="Y1011" s="336"/>
      <c r="Z1011" s="123"/>
      <c r="AA1011" s="33"/>
      <c r="AB1011" s="123"/>
      <c r="AC1011" s="33"/>
      <c r="AD1011" s="123"/>
      <c r="AE1011" s="33"/>
      <c r="AF1011" s="123"/>
      <c r="AG1011" s="243"/>
      <c r="AH1011" s="33"/>
      <c r="AI1011" s="245"/>
      <c r="AJ1011" s="125"/>
      <c r="AK1011" s="91"/>
      <c r="AL1011" s="126"/>
      <c r="AM1011" s="91"/>
      <c r="AN1011" s="91"/>
      <c r="AO1011" s="197">
        <f t="shared" si="63"/>
        <v>0</v>
      </c>
      <c r="AP1011" s="126"/>
      <c r="AQ1011" s="216"/>
      <c r="AR1011" s="127"/>
      <c r="AS1011" s="269"/>
      <c r="AT1011" s="94"/>
      <c r="AU1011" s="84"/>
      <c r="AV1011" s="80"/>
      <c r="AW1011" s="81"/>
      <c r="AX1011" s="77"/>
      <c r="AY1011" s="107"/>
      <c r="AZ1011" s="220">
        <f t="shared" si="60"/>
        <v>0</v>
      </c>
      <c r="BA1011" s="220">
        <f t="shared" si="61"/>
        <v>0</v>
      </c>
    </row>
    <row r="1012" spans="1:53" ht="50.1" customHeight="1" x14ac:dyDescent="0.25">
      <c r="A1012" s="17">
        <f t="shared" si="62"/>
        <v>998</v>
      </c>
      <c r="B1012" s="229"/>
      <c r="C1012" s="222"/>
      <c r="D1012" s="112"/>
      <c r="E1012" s="128"/>
      <c r="F1012" s="129"/>
      <c r="G1012" s="130"/>
      <c r="H1012" s="131"/>
      <c r="I1012" s="132"/>
      <c r="J1012" s="108"/>
      <c r="K1012" s="133"/>
      <c r="L1012" s="134"/>
      <c r="M1012" s="334"/>
      <c r="N1012" s="343"/>
      <c r="O1012" s="135"/>
      <c r="P1012" s="82"/>
      <c r="Q1012" s="135"/>
      <c r="R1012" s="82"/>
      <c r="S1012" s="299"/>
      <c r="T1012" s="305"/>
      <c r="U1012" s="298"/>
      <c r="V1012" s="304"/>
      <c r="W1012" s="249"/>
      <c r="X1012" s="344"/>
      <c r="Y1012" s="337"/>
      <c r="Z1012" s="33"/>
      <c r="AA1012" s="83"/>
      <c r="AB1012" s="33"/>
      <c r="AC1012" s="83"/>
      <c r="AD1012" s="33"/>
      <c r="AE1012" s="83"/>
      <c r="AF1012" s="33"/>
      <c r="AG1012" s="244"/>
      <c r="AH1012" s="83"/>
      <c r="AI1012" s="246"/>
      <c r="AJ1012" s="102"/>
      <c r="AK1012" s="92"/>
      <c r="AL1012" s="91"/>
      <c r="AM1012" s="92"/>
      <c r="AN1012" s="351"/>
      <c r="AO1012" s="197">
        <f t="shared" si="63"/>
        <v>0</v>
      </c>
      <c r="AP1012" s="91"/>
      <c r="AQ1012" s="217"/>
      <c r="AR1012" s="103"/>
      <c r="AS1012" s="264"/>
      <c r="AT1012" s="94"/>
      <c r="AU1012" s="84"/>
      <c r="AV1012" s="136"/>
      <c r="AW1012" s="77"/>
      <c r="AX1012" s="137"/>
      <c r="AY1012" s="138"/>
      <c r="AZ1012" s="220">
        <f t="shared" si="60"/>
        <v>0</v>
      </c>
      <c r="BA1012" s="220">
        <f t="shared" si="61"/>
        <v>0</v>
      </c>
    </row>
    <row r="1013" spans="1:53" ht="50.1" customHeight="1" x14ac:dyDescent="0.25">
      <c r="A1013" s="17">
        <f t="shared" si="62"/>
        <v>999</v>
      </c>
      <c r="B1013" s="228"/>
      <c r="C1013" s="221"/>
      <c r="D1013" s="88"/>
      <c r="E1013" s="100"/>
      <c r="F1013" s="95"/>
      <c r="G1013" s="114"/>
      <c r="H1013" s="96"/>
      <c r="I1013" s="97"/>
      <c r="J1013" s="98"/>
      <c r="K1013" s="101"/>
      <c r="L1013" s="124"/>
      <c r="M1013" s="333"/>
      <c r="N1013" s="341"/>
      <c r="O1013" s="82"/>
      <c r="P1013" s="93"/>
      <c r="Q1013" s="82"/>
      <c r="R1013" s="93"/>
      <c r="S1013" s="298"/>
      <c r="T1013" s="304"/>
      <c r="U1013" s="307"/>
      <c r="V1013" s="309"/>
      <c r="W1013" s="248"/>
      <c r="X1013" s="342"/>
      <c r="Y1013" s="336"/>
      <c r="Z1013" s="123"/>
      <c r="AA1013" s="33"/>
      <c r="AB1013" s="123"/>
      <c r="AC1013" s="33"/>
      <c r="AD1013" s="123"/>
      <c r="AE1013" s="33"/>
      <c r="AF1013" s="123"/>
      <c r="AG1013" s="243"/>
      <c r="AH1013" s="33"/>
      <c r="AI1013" s="245"/>
      <c r="AJ1013" s="125"/>
      <c r="AK1013" s="91"/>
      <c r="AL1013" s="126"/>
      <c r="AM1013" s="91"/>
      <c r="AN1013" s="91"/>
      <c r="AO1013" s="197">
        <f t="shared" si="63"/>
        <v>0</v>
      </c>
      <c r="AP1013" s="126"/>
      <c r="AQ1013" s="216"/>
      <c r="AR1013" s="127"/>
      <c r="AS1013" s="269"/>
      <c r="AT1013" s="94"/>
      <c r="AU1013" s="84"/>
      <c r="AV1013" s="80"/>
      <c r="AW1013" s="81"/>
      <c r="AX1013" s="77"/>
      <c r="AY1013" s="107"/>
      <c r="AZ1013" s="220">
        <f t="shared" si="60"/>
        <v>0</v>
      </c>
      <c r="BA1013" s="220">
        <f t="shared" si="61"/>
        <v>0</v>
      </c>
    </row>
    <row r="1014" spans="1:53" ht="50.1" customHeight="1" x14ac:dyDescent="0.25">
      <c r="A1014" s="17">
        <f t="shared" si="62"/>
        <v>1000</v>
      </c>
      <c r="B1014" s="229"/>
      <c r="C1014" s="222"/>
      <c r="D1014" s="112"/>
      <c r="E1014" s="128"/>
      <c r="F1014" s="129"/>
      <c r="G1014" s="130"/>
      <c r="H1014" s="131"/>
      <c r="I1014" s="132"/>
      <c r="J1014" s="108"/>
      <c r="K1014" s="133"/>
      <c r="L1014" s="134"/>
      <c r="M1014" s="334"/>
      <c r="N1014" s="343"/>
      <c r="O1014" s="135"/>
      <c r="P1014" s="82"/>
      <c r="Q1014" s="135"/>
      <c r="R1014" s="82"/>
      <c r="S1014" s="299"/>
      <c r="T1014" s="305"/>
      <c r="U1014" s="298"/>
      <c r="V1014" s="304"/>
      <c r="W1014" s="249"/>
      <c r="X1014" s="344"/>
      <c r="Y1014" s="337"/>
      <c r="Z1014" s="33"/>
      <c r="AA1014" s="83"/>
      <c r="AB1014" s="33"/>
      <c r="AC1014" s="83"/>
      <c r="AD1014" s="33"/>
      <c r="AE1014" s="83"/>
      <c r="AF1014" s="33"/>
      <c r="AG1014" s="244"/>
      <c r="AH1014" s="83"/>
      <c r="AI1014" s="246"/>
      <c r="AJ1014" s="102"/>
      <c r="AK1014" s="92"/>
      <c r="AL1014" s="91"/>
      <c r="AM1014" s="92"/>
      <c r="AN1014" s="351"/>
      <c r="AO1014" s="197">
        <f t="shared" si="63"/>
        <v>0</v>
      </c>
      <c r="AP1014" s="91"/>
      <c r="AQ1014" s="217"/>
      <c r="AR1014" s="103"/>
      <c r="AS1014" s="264"/>
      <c r="AT1014" s="94"/>
      <c r="AU1014" s="84"/>
      <c r="AV1014" s="136"/>
      <c r="AW1014" s="77"/>
      <c r="AX1014" s="137"/>
      <c r="AY1014" s="138"/>
      <c r="AZ1014" s="220">
        <f t="shared" si="60"/>
        <v>0</v>
      </c>
      <c r="BA1014" s="220">
        <f t="shared" si="61"/>
        <v>0</v>
      </c>
    </row>
  </sheetData>
  <dataConsolidate/>
  <mergeCells count="30">
    <mergeCell ref="A2:P2"/>
    <mergeCell ref="A3:P3"/>
    <mergeCell ref="A4:P4"/>
    <mergeCell ref="A5:L5"/>
    <mergeCell ref="A6:D6"/>
    <mergeCell ref="E6:H6"/>
    <mergeCell ref="I6:J6"/>
    <mergeCell ref="K6:N6"/>
    <mergeCell ref="A7:D7"/>
    <mergeCell ref="E7:H7"/>
    <mergeCell ref="I7:J7"/>
    <mergeCell ref="K7:N7"/>
    <mergeCell ref="A8:D9"/>
    <mergeCell ref="E8:H9"/>
    <mergeCell ref="I8:J8"/>
    <mergeCell ref="K8:N8"/>
    <mergeCell ref="I9:J9"/>
    <mergeCell ref="K9:N9"/>
    <mergeCell ref="Y13:AI13"/>
    <mergeCell ref="AJ13:AS13"/>
    <mergeCell ref="AT13:AX13"/>
    <mergeCell ref="AZ13:BA13"/>
    <mergeCell ref="A10:D10"/>
    <mergeCell ref="I10:J10"/>
    <mergeCell ref="K10:N10"/>
    <mergeCell ref="A11:L11"/>
    <mergeCell ref="A12:N12"/>
    <mergeCell ref="A13:E13"/>
    <mergeCell ref="F13:J13"/>
    <mergeCell ref="N13:X13"/>
  </mergeCells>
  <conditionalFormatting sqref="A15:A1014">
    <cfRule type="expression" dxfId="1" priority="18">
      <formula>$AT15="YES"</formula>
    </cfRule>
  </conditionalFormatting>
  <conditionalFormatting sqref="B15:BA1014">
    <cfRule type="expression" dxfId="0" priority="1">
      <formula>$AT15="YES"</formula>
    </cfRule>
  </conditionalFormatting>
  <dataValidations count="12">
    <dataValidation allowBlank="1" showInputMessage="1" showErrorMessage="1" prompt="Do not submit with identifying information. " sqref="D15:D1014" xr:uid="{566ABD91-E9FC-411D-9ADC-7FB2568472BE}"/>
    <dataValidation allowBlank="1" showInputMessage="1" showErrorMessage="1" prompt="Provide a brief description" sqref="K15:K1014" xr:uid="{C83FEBB7-2160-47C3-8F64-F2D80906DE4F}"/>
    <dataValidation allowBlank="1" showInputMessage="1" showErrorMessage="1" prompt="Note Section for Column AR " sqref="AS15:AS1014" xr:uid="{D664766A-F458-4D91-AAF9-F8947152D691}"/>
    <dataValidation allowBlank="1" showInputMessage="1" showErrorMessage="1" prompt="Note Section for Column U " sqref="V15:V1014" xr:uid="{BF89833C-E606-4FA9-AAB4-F01836AEBF99}"/>
    <dataValidation allowBlank="1" showInputMessage="1" showErrorMessage="1" prompt="Note Section for Column S" sqref="T15:T1014" xr:uid="{69FC6CF4-ABED-48E2-851E-37E872BF3709}"/>
    <dataValidation allowBlank="1" showInputMessage="1" showErrorMessage="1" prompt="Use MM/DD/YYYY format. Leave blank until date is needed. " sqref="N15:N1014" xr:uid="{423CB142-DBC0-44D0-B317-AC13838B81FA}"/>
    <dataValidation type="whole" allowBlank="1" showInputMessage="1" showErrorMessage="1" prompt="Use a number, do NOT use alphabet. " sqref="G15:G1014" xr:uid="{94DD1C07-7858-4202-AEA3-A769F9FAC091}">
      <formula1>0</formula1>
      <formula2>150</formula2>
    </dataValidation>
    <dataValidation type="date" allowBlank="1" showInputMessage="1" showErrorMessage="1" prompt="Use MM/DD/YYYY format. Leave blank until date is needed" sqref="X15:X1014" xr:uid="{93209530-65B6-485F-8DF0-6A52689DB27B}">
      <formula1>44013</formula1>
      <formula2>44377</formula2>
    </dataValidation>
    <dataValidation allowBlank="1" showInputMessage="1" showErrorMessage="1" prompt="Note Section for Column AF" sqref="AG15:AG1014" xr:uid="{568AA205-DE6B-4B8E-A722-A3DDB1CFE546}"/>
    <dataValidation allowBlank="1" showInputMessage="1" showErrorMessage="1" prompt="Note Section for Column AH" sqref="AI15:AI1014" xr:uid="{C24F2F26-7AE4-4477-91CB-5FD5E121D83F}"/>
    <dataValidation type="date" allowBlank="1" showInputMessage="1" showErrorMessage="1" prompt="Use MM/DD/YYYY format. Leave blank until date is needed. " sqref="AU15:AU1014 M15:M1014" xr:uid="{C857552C-690B-434E-A4D9-FA08AC7BD9C1}">
      <formula1>36526</formula1>
      <formula2>46022</formula2>
    </dataValidation>
    <dataValidation type="date" allowBlank="1" showInputMessage="1" showErrorMessage="1" prompt="Use MM/DD/YYYY format.  Leave blank until date is needed. " sqref="B15:B1014" xr:uid="{7E997C9C-1F8D-443D-8495-2283C1FF9CFB}">
      <formula1>36526</formula1>
      <formula2>46022</formula2>
    </dataValidation>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Select an option from drop-down list. " xr:uid="{D66E2A0C-00A9-4184-81BE-4123D602ED3A}">
          <x14:formula1>
            <xm:f>'pick list '!$M$9:$M$10</xm:f>
          </x14:formula1>
          <xm:sqref>O15:S1014 U15:U1014 W15:W1014 Y15:AF1014 AH15:AH1014 AT15:AT1014 AV15:AV1014 C15:C1014</xm:sqref>
        </x14:dataValidation>
        <x14:dataValidation type="list" allowBlank="1" showInputMessage="1" showErrorMessage="1" prompt="Select an option from drop-down list. " xr:uid="{26131A6A-3527-4DF8-8D7E-0A3A4840CBAB}">
          <x14:formula1>
            <xm:f>'pick list '!$N$5:$N$7</xm:f>
          </x14:formula1>
          <xm:sqref>AR15:AR1014</xm:sqref>
        </x14:dataValidation>
        <x14:dataValidation type="list" allowBlank="1" showInputMessage="1" showErrorMessage="1" xr:uid="{BDBE8158-E5BF-49A2-9AF9-02A8C6C4B906}">
          <x14:formula1>
            <xm:f>'pick list '!$M$9:$M$10</xm:f>
          </x14:formula1>
          <xm:sqref>AQ440 AQ442:AQ1014 AQ434 AQ436 AQ438</xm:sqref>
        </x14:dataValidation>
        <x14:dataValidation type="list" allowBlank="1" showInputMessage="1" showErrorMessage="1" prompt="Select an option from drop-down list. " xr:uid="{52847D74-762C-4C63-84F4-7F4FE416DAE3}">
          <x14:formula1>
            <xm:f>'pick list '!$J$3:$J$57</xm:f>
          </x14:formula1>
          <xm:sqref>F15:F1014</xm:sqref>
        </x14:dataValidation>
        <x14:dataValidation type="list" allowBlank="1" showInputMessage="1" showErrorMessage="1" xr:uid="{B97A2662-7921-4A9A-B997-8BE0020E4A18}">
          <x14:formula1>
            <xm:f>'pick list '!$L$9:$L$10</xm:f>
          </x14:formula1>
          <xm:sqref>L15:L1014</xm:sqref>
        </x14:dataValidation>
        <x14:dataValidation type="list" allowBlank="1" showInputMessage="1" showErrorMessage="1" prompt="Select an option from drop-down list. " xr:uid="{CA1E24D3-BB30-4DBC-AD70-6A4D75625F64}">
          <x14:formula1>
            <xm:f>'pick list '!$G$3:$G$9</xm:f>
          </x14:formula1>
          <xm:sqref>I15:I1014</xm:sqref>
        </x14:dataValidation>
        <x14:dataValidation type="list" allowBlank="1" showInputMessage="1" showErrorMessage="1" prompt="Select an option from drop-down list. " xr:uid="{F35ED919-7578-48DD-BD29-75749F64917E}">
          <x14:formula1>
            <xm:f>'pick list '!$L$3:$L$4</xm:f>
          </x14:formula1>
          <xm:sqref>H15:H1014</xm:sqref>
        </x14:dataValidation>
        <x14:dataValidation type="list" allowBlank="1" showInputMessage="1" showErrorMessage="1" prompt="Select an option from drop-down list. " xr:uid="{7F9F34BF-4450-4C75-B65B-AA75CBF32B61}">
          <x14:formula1>
            <xm:f>'pick list '!$G$12:$G$14</xm:f>
          </x14:formula1>
          <xm:sqref>J15:J1014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V35"/>
  <sheetViews>
    <sheetView workbookViewId="0">
      <pane ySplit="1" topLeftCell="A2" activePane="bottomLeft" state="frozen"/>
      <selection pane="bottomLeft" activeCell="C13" sqref="C13:AK13"/>
    </sheetView>
  </sheetViews>
  <sheetFormatPr defaultColWidth="8.85546875" defaultRowHeight="15" x14ac:dyDescent="0.25"/>
  <cols>
    <col min="1" max="1" width="5.85546875" customWidth="1"/>
    <col min="2" max="2" width="11.42578125" customWidth="1"/>
    <col min="3" max="3" width="9.42578125" customWidth="1"/>
    <col min="4" max="55" width="4.28515625" customWidth="1"/>
  </cols>
  <sheetData>
    <row r="1" spans="1:48" ht="18.75" customHeight="1" x14ac:dyDescent="0.25">
      <c r="A1" s="535" t="s">
        <v>797</v>
      </c>
      <c r="B1" s="536"/>
      <c r="C1" s="536"/>
      <c r="D1" s="536"/>
      <c r="E1" s="536"/>
      <c r="F1" s="536"/>
      <c r="G1" s="536"/>
      <c r="H1" s="536"/>
      <c r="I1" s="536"/>
      <c r="J1" s="536"/>
      <c r="K1" s="536"/>
      <c r="L1" s="536"/>
      <c r="M1" s="536"/>
      <c r="N1" s="536"/>
      <c r="O1" s="536"/>
      <c r="P1" s="536"/>
      <c r="Q1" s="536"/>
      <c r="R1" s="536"/>
      <c r="S1" s="536"/>
      <c r="T1" s="536"/>
      <c r="U1" s="536"/>
      <c r="V1" s="536"/>
      <c r="W1" s="536"/>
      <c r="X1" s="536"/>
      <c r="Y1" s="536"/>
      <c r="Z1" s="536"/>
      <c r="AA1" s="536"/>
      <c r="AB1" s="536"/>
      <c r="AC1" s="536"/>
      <c r="AD1" s="536"/>
      <c r="AE1" s="536"/>
      <c r="AF1" s="536"/>
      <c r="AG1" s="536"/>
      <c r="AH1" s="536"/>
      <c r="AI1" s="536"/>
      <c r="AJ1" s="536"/>
      <c r="AK1" s="537"/>
    </row>
    <row r="2" spans="1:48" ht="18.75" customHeight="1" x14ac:dyDescent="0.25">
      <c r="A2" s="538" t="s">
        <v>803</v>
      </c>
      <c r="B2" s="539"/>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40"/>
    </row>
    <row r="3" spans="1:48" ht="15.75" x14ac:dyDescent="0.25">
      <c r="A3" s="541" t="s">
        <v>202</v>
      </c>
      <c r="B3" s="542"/>
      <c r="C3" s="542"/>
      <c r="D3" s="542"/>
      <c r="E3" s="542"/>
      <c r="F3" s="542"/>
      <c r="G3" s="542"/>
      <c r="H3" s="542"/>
      <c r="I3" s="542"/>
      <c r="J3" s="542"/>
      <c r="K3" s="542"/>
      <c r="L3" s="542"/>
      <c r="M3" s="542"/>
      <c r="N3" s="542"/>
      <c r="O3" s="542"/>
      <c r="P3" s="542"/>
      <c r="Q3" s="542"/>
      <c r="R3" s="542"/>
      <c r="S3" s="542"/>
      <c r="T3" s="542"/>
      <c r="U3" s="542"/>
      <c r="V3" s="542"/>
      <c r="W3" s="542"/>
      <c r="X3" s="542"/>
      <c r="Y3" s="542"/>
      <c r="Z3" s="542"/>
      <c r="AA3" s="542"/>
      <c r="AB3" s="542"/>
      <c r="AC3" s="542"/>
      <c r="AD3" s="542"/>
      <c r="AE3" s="542"/>
      <c r="AF3" s="542"/>
      <c r="AG3" s="542"/>
      <c r="AH3" s="542"/>
      <c r="AI3" s="542"/>
      <c r="AJ3" s="542"/>
      <c r="AK3" s="543"/>
    </row>
    <row r="4" spans="1:48" ht="35.1" customHeight="1" x14ac:dyDescent="0.25">
      <c r="A4" s="495" t="s">
        <v>203</v>
      </c>
      <c r="B4" s="496"/>
      <c r="C4" s="496"/>
      <c r="D4" s="496"/>
      <c r="E4" s="496"/>
      <c r="F4" s="496"/>
      <c r="G4" s="496"/>
      <c r="H4" s="496"/>
      <c r="I4" s="496"/>
      <c r="J4" s="496"/>
      <c r="K4" s="496"/>
      <c r="L4" s="496"/>
      <c r="M4" s="496"/>
      <c r="N4" s="496"/>
      <c r="O4" s="496"/>
      <c r="P4" s="496"/>
      <c r="Q4" s="496"/>
      <c r="R4" s="496"/>
      <c r="S4" s="496"/>
      <c r="T4" s="496"/>
      <c r="U4" s="496"/>
      <c r="V4" s="496"/>
      <c r="W4" s="496"/>
      <c r="X4" s="496"/>
      <c r="Y4" s="496"/>
      <c r="Z4" s="496"/>
      <c r="AA4" s="496"/>
      <c r="AB4" s="496"/>
      <c r="AC4" s="496"/>
      <c r="AD4" s="496"/>
      <c r="AE4" s="496"/>
      <c r="AF4" s="496"/>
      <c r="AG4" s="496"/>
      <c r="AH4" s="496"/>
      <c r="AI4" s="496"/>
      <c r="AJ4" s="496"/>
      <c r="AK4" s="496"/>
      <c r="AL4" s="364"/>
      <c r="AM4" s="364"/>
      <c r="AN4" s="364"/>
      <c r="AO4" s="364"/>
      <c r="AP4" s="364"/>
      <c r="AQ4" s="364"/>
      <c r="AR4" s="364"/>
      <c r="AS4" s="364"/>
      <c r="AT4" s="364"/>
      <c r="AU4" s="364"/>
      <c r="AV4" s="364"/>
    </row>
    <row r="5" spans="1:48" ht="30" customHeight="1" x14ac:dyDescent="0.25">
      <c r="A5" s="515" t="s">
        <v>204</v>
      </c>
      <c r="B5" s="516"/>
      <c r="C5" s="516"/>
      <c r="D5" s="516"/>
      <c r="E5" s="516"/>
      <c r="F5" s="517"/>
      <c r="G5" s="497" t="s">
        <v>205</v>
      </c>
      <c r="H5" s="498"/>
      <c r="I5" s="498"/>
      <c r="J5" s="498"/>
      <c r="K5" s="498"/>
      <c r="L5" s="498"/>
      <c r="M5" s="498"/>
      <c r="N5" s="498"/>
      <c r="O5" s="498"/>
      <c r="P5" s="499"/>
      <c r="Q5" s="559" t="s">
        <v>31</v>
      </c>
      <c r="R5" s="560"/>
      <c r="S5" s="560"/>
      <c r="T5" s="560"/>
      <c r="U5" s="560"/>
      <c r="V5" s="560"/>
      <c r="W5" s="560"/>
      <c r="X5" s="561"/>
      <c r="Y5" s="512" t="s">
        <v>206</v>
      </c>
      <c r="Z5" s="513"/>
      <c r="AA5" s="513"/>
      <c r="AB5" s="513"/>
      <c r="AC5" s="513"/>
      <c r="AD5" s="513"/>
      <c r="AE5" s="513"/>
      <c r="AF5" s="513"/>
      <c r="AG5" s="513"/>
      <c r="AH5" s="513"/>
      <c r="AI5" s="513"/>
      <c r="AJ5" s="513"/>
      <c r="AK5" s="514"/>
    </row>
    <row r="6" spans="1:48" ht="20.100000000000001" customHeight="1" x14ac:dyDescent="0.25">
      <c r="A6" s="515" t="s">
        <v>207</v>
      </c>
      <c r="B6" s="516"/>
      <c r="C6" s="516"/>
      <c r="D6" s="516"/>
      <c r="E6" s="516"/>
      <c r="F6" s="517"/>
      <c r="G6" s="497" t="s">
        <v>208</v>
      </c>
      <c r="H6" s="498"/>
      <c r="I6" s="498"/>
      <c r="J6" s="498"/>
      <c r="K6" s="498"/>
      <c r="L6" s="498"/>
      <c r="M6" s="498"/>
      <c r="N6" s="498"/>
      <c r="O6" s="498"/>
      <c r="P6" s="499"/>
      <c r="Q6" s="559" t="s">
        <v>209</v>
      </c>
      <c r="R6" s="560"/>
      <c r="S6" s="560"/>
      <c r="T6" s="560"/>
      <c r="U6" s="560"/>
      <c r="V6" s="560"/>
      <c r="W6" s="560"/>
      <c r="X6" s="561"/>
      <c r="Y6" s="497"/>
      <c r="Z6" s="498"/>
      <c r="AA6" s="498"/>
      <c r="AB6" s="498"/>
      <c r="AC6" s="498"/>
      <c r="AD6" s="498"/>
      <c r="AE6" s="498"/>
      <c r="AF6" s="498"/>
      <c r="AG6" s="498"/>
      <c r="AH6" s="498"/>
      <c r="AI6" s="498"/>
      <c r="AJ6" s="498"/>
      <c r="AK6" s="499"/>
    </row>
    <row r="7" spans="1:48" ht="20.100000000000001" customHeight="1" x14ac:dyDescent="0.25">
      <c r="A7" s="506" t="s">
        <v>210</v>
      </c>
      <c r="B7" s="507"/>
      <c r="C7" s="507"/>
      <c r="D7" s="507"/>
      <c r="E7" s="507"/>
      <c r="F7" s="508"/>
      <c r="G7" s="500" t="s">
        <v>211</v>
      </c>
      <c r="H7" s="501"/>
      <c r="I7" s="501"/>
      <c r="J7" s="501"/>
      <c r="K7" s="501"/>
      <c r="L7" s="501"/>
      <c r="M7" s="501"/>
      <c r="N7" s="501"/>
      <c r="O7" s="501"/>
      <c r="P7" s="502"/>
      <c r="Q7" s="559" t="s">
        <v>212</v>
      </c>
      <c r="R7" s="560"/>
      <c r="S7" s="560"/>
      <c r="T7" s="560"/>
      <c r="U7" s="560"/>
      <c r="V7" s="560"/>
      <c r="W7" s="560"/>
      <c r="X7" s="561"/>
      <c r="Y7" s="497"/>
      <c r="Z7" s="498"/>
      <c r="AA7" s="498"/>
      <c r="AB7" s="498"/>
      <c r="AC7" s="498"/>
      <c r="AD7" s="498"/>
      <c r="AE7" s="498"/>
      <c r="AF7" s="498"/>
      <c r="AG7" s="498"/>
      <c r="AH7" s="498"/>
      <c r="AI7" s="498"/>
      <c r="AJ7" s="498"/>
      <c r="AK7" s="499"/>
    </row>
    <row r="8" spans="1:48" ht="20.100000000000001" customHeight="1" x14ac:dyDescent="0.25">
      <c r="A8" s="509"/>
      <c r="B8" s="510"/>
      <c r="C8" s="510"/>
      <c r="D8" s="510"/>
      <c r="E8" s="510"/>
      <c r="F8" s="511"/>
      <c r="G8" s="503"/>
      <c r="H8" s="504"/>
      <c r="I8" s="504"/>
      <c r="J8" s="504"/>
      <c r="K8" s="504"/>
      <c r="L8" s="504"/>
      <c r="M8" s="504"/>
      <c r="N8" s="504"/>
      <c r="O8" s="504"/>
      <c r="P8" s="505"/>
      <c r="Q8" s="515" t="s">
        <v>213</v>
      </c>
      <c r="R8" s="516"/>
      <c r="S8" s="516"/>
      <c r="T8" s="516"/>
      <c r="U8" s="516"/>
      <c r="V8" s="516"/>
      <c r="W8" s="516"/>
      <c r="X8" s="517"/>
      <c r="Y8" s="497"/>
      <c r="Z8" s="498"/>
      <c r="AA8" s="498"/>
      <c r="AB8" s="498"/>
      <c r="AC8" s="498"/>
      <c r="AD8" s="498"/>
      <c r="AE8" s="498"/>
      <c r="AF8" s="498"/>
      <c r="AG8" s="498"/>
      <c r="AH8" s="498"/>
      <c r="AI8" s="498"/>
      <c r="AJ8" s="498"/>
      <c r="AK8" s="499"/>
    </row>
    <row r="9" spans="1:48" ht="20.100000000000001" customHeight="1" x14ac:dyDescent="0.25">
      <c r="A9" s="547" t="s">
        <v>214</v>
      </c>
      <c r="B9" s="548"/>
      <c r="C9" s="548"/>
      <c r="D9" s="548"/>
      <c r="E9" s="548"/>
      <c r="F9" s="549"/>
      <c r="G9" s="550" t="s">
        <v>215</v>
      </c>
      <c r="H9" s="551"/>
      <c r="I9" s="554" t="s">
        <v>216</v>
      </c>
      <c r="J9" s="555"/>
      <c r="K9" s="552" t="s">
        <v>217</v>
      </c>
      <c r="L9" s="553"/>
      <c r="M9" s="492">
        <v>2023</v>
      </c>
      <c r="N9" s="493"/>
      <c r="O9" s="493"/>
      <c r="P9" s="494"/>
      <c r="Q9" s="515" t="s">
        <v>218</v>
      </c>
      <c r="R9" s="516"/>
      <c r="S9" s="516"/>
      <c r="T9" s="516"/>
      <c r="U9" s="516"/>
      <c r="V9" s="516"/>
      <c r="W9" s="516"/>
      <c r="X9" s="517"/>
      <c r="Y9" s="556"/>
      <c r="Z9" s="557"/>
      <c r="AA9" s="557"/>
      <c r="AB9" s="557"/>
      <c r="AC9" s="557"/>
      <c r="AD9" s="557"/>
      <c r="AE9" s="557"/>
      <c r="AF9" s="557"/>
      <c r="AG9" s="557"/>
      <c r="AH9" s="557"/>
      <c r="AI9" s="557"/>
      <c r="AJ9" s="557"/>
      <c r="AK9" s="558"/>
    </row>
    <row r="10" spans="1:48" ht="24.95" customHeight="1" x14ac:dyDescent="0.25">
      <c r="A10" s="546" t="s">
        <v>219</v>
      </c>
      <c r="B10" s="546"/>
      <c r="C10" s="546"/>
      <c r="D10" s="546"/>
      <c r="E10" s="546"/>
      <c r="F10" s="546"/>
      <c r="G10" s="546"/>
      <c r="H10" s="546"/>
      <c r="I10" s="546"/>
      <c r="J10" s="546"/>
      <c r="K10" s="546"/>
      <c r="L10" s="546"/>
      <c r="M10" s="546"/>
      <c r="N10" s="546"/>
      <c r="O10" s="546"/>
      <c r="P10" s="546"/>
      <c r="Q10" s="546"/>
      <c r="R10" s="546"/>
      <c r="S10" s="546"/>
      <c r="T10" s="546"/>
      <c r="U10" s="546"/>
      <c r="V10" s="546"/>
      <c r="W10" s="546"/>
      <c r="X10" s="546"/>
      <c r="Y10" s="546"/>
      <c r="Z10" s="546"/>
      <c r="AA10" s="546"/>
      <c r="AB10" s="546"/>
      <c r="AC10" s="546"/>
      <c r="AD10" s="546"/>
      <c r="AE10" s="546"/>
      <c r="AF10" s="546"/>
      <c r="AG10" s="546"/>
      <c r="AH10" s="546"/>
      <c r="AI10" s="546"/>
      <c r="AJ10" s="546"/>
      <c r="AK10" s="546"/>
    </row>
    <row r="11" spans="1:48" ht="30" customHeight="1" x14ac:dyDescent="0.25">
      <c r="A11" s="544" t="s">
        <v>220</v>
      </c>
      <c r="B11" s="545"/>
      <c r="C11" s="545"/>
      <c r="D11" s="545"/>
      <c r="E11" s="545"/>
      <c r="F11" s="545"/>
      <c r="G11" s="545"/>
      <c r="H11" s="545"/>
      <c r="I11" s="545"/>
      <c r="J11" s="545"/>
      <c r="K11" s="545"/>
      <c r="L11" s="545"/>
      <c r="M11" s="545"/>
      <c r="N11" s="545"/>
      <c r="O11" s="545"/>
      <c r="P11" s="545"/>
      <c r="Q11" s="545"/>
      <c r="R11" s="545"/>
      <c r="S11" s="545"/>
      <c r="T11" s="545"/>
      <c r="U11" s="545"/>
      <c r="V11" s="545"/>
      <c r="W11" s="545"/>
      <c r="X11" s="545"/>
      <c r="Y11" s="545"/>
      <c r="Z11" s="545"/>
      <c r="AA11" s="545"/>
      <c r="AB11" s="545"/>
      <c r="AC11" s="545"/>
      <c r="AD11" s="545"/>
      <c r="AE11" s="545"/>
      <c r="AF11" s="545"/>
      <c r="AG11" s="545"/>
      <c r="AH11" s="545"/>
      <c r="AI11" s="545"/>
      <c r="AJ11" s="545"/>
      <c r="AK11" s="545"/>
    </row>
    <row r="12" spans="1:48" x14ac:dyDescent="0.25">
      <c r="A12" s="518" t="s">
        <v>221</v>
      </c>
      <c r="B12" s="385"/>
      <c r="C12" s="532" t="s">
        <v>222</v>
      </c>
      <c r="D12" s="533"/>
      <c r="E12" s="533"/>
      <c r="F12" s="533"/>
      <c r="G12" s="533"/>
      <c r="H12" s="533"/>
      <c r="I12" s="533"/>
      <c r="J12" s="533"/>
      <c r="K12" s="533"/>
      <c r="L12" s="533"/>
      <c r="M12" s="533"/>
      <c r="N12" s="533"/>
      <c r="O12" s="533"/>
      <c r="P12" s="533"/>
      <c r="Q12" s="533"/>
      <c r="R12" s="533"/>
      <c r="S12" s="533"/>
      <c r="T12" s="533"/>
      <c r="U12" s="533"/>
      <c r="V12" s="533"/>
      <c r="W12" s="533"/>
      <c r="X12" s="533"/>
      <c r="Y12" s="533"/>
      <c r="Z12" s="533"/>
      <c r="AA12" s="533"/>
      <c r="AB12" s="533"/>
      <c r="AC12" s="533"/>
      <c r="AD12" s="533"/>
      <c r="AE12" s="533"/>
      <c r="AF12" s="533"/>
      <c r="AG12" s="533"/>
      <c r="AH12" s="533"/>
      <c r="AI12" s="533"/>
      <c r="AJ12" s="533"/>
      <c r="AK12" s="534"/>
    </row>
    <row r="13" spans="1:48" ht="99.95" customHeight="1" x14ac:dyDescent="0.25">
      <c r="A13" s="519"/>
      <c r="B13" s="386">
        <v>2021</v>
      </c>
      <c r="C13" s="526"/>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7"/>
      <c r="AI13" s="527"/>
      <c r="AJ13" s="527"/>
      <c r="AK13" s="528"/>
    </row>
    <row r="14" spans="1:48" x14ac:dyDescent="0.25">
      <c r="A14" s="518" t="s">
        <v>223</v>
      </c>
      <c r="B14" s="518">
        <v>2021</v>
      </c>
      <c r="C14" s="523" t="s">
        <v>222</v>
      </c>
      <c r="D14" s="524"/>
      <c r="E14" s="524"/>
      <c r="F14" s="524"/>
      <c r="G14" s="524"/>
      <c r="H14" s="524"/>
      <c r="I14" s="524"/>
      <c r="J14" s="524"/>
      <c r="K14" s="524"/>
      <c r="L14" s="524"/>
      <c r="M14" s="524"/>
      <c r="N14" s="524"/>
      <c r="O14" s="524"/>
      <c r="P14" s="524"/>
      <c r="Q14" s="524"/>
      <c r="R14" s="524"/>
      <c r="S14" s="524"/>
      <c r="T14" s="524"/>
      <c r="U14" s="524"/>
      <c r="V14" s="524"/>
      <c r="W14" s="524"/>
      <c r="X14" s="524"/>
      <c r="Y14" s="524"/>
      <c r="Z14" s="524"/>
      <c r="AA14" s="524"/>
      <c r="AB14" s="524"/>
      <c r="AC14" s="524"/>
      <c r="AD14" s="524"/>
      <c r="AE14" s="524"/>
      <c r="AF14" s="524"/>
      <c r="AG14" s="524"/>
      <c r="AH14" s="524"/>
      <c r="AI14" s="524"/>
      <c r="AJ14" s="524"/>
      <c r="AK14" s="525"/>
    </row>
    <row r="15" spans="1:48" ht="99.95" customHeight="1" x14ac:dyDescent="0.25">
      <c r="A15" s="519"/>
      <c r="B15" s="520"/>
      <c r="C15" s="526"/>
      <c r="D15" s="527"/>
      <c r="E15" s="527"/>
      <c r="F15" s="527"/>
      <c r="G15" s="527"/>
      <c r="H15" s="527"/>
      <c r="I15" s="527"/>
      <c r="J15" s="527"/>
      <c r="K15" s="527"/>
      <c r="L15" s="527"/>
      <c r="M15" s="527"/>
      <c r="N15" s="527"/>
      <c r="O15" s="527"/>
      <c r="P15" s="527"/>
      <c r="Q15" s="527"/>
      <c r="R15" s="527"/>
      <c r="S15" s="527"/>
      <c r="T15" s="527"/>
      <c r="U15" s="527"/>
      <c r="V15" s="527"/>
      <c r="W15" s="527"/>
      <c r="X15" s="527"/>
      <c r="Y15" s="527"/>
      <c r="Z15" s="527"/>
      <c r="AA15" s="527"/>
      <c r="AB15" s="527"/>
      <c r="AC15" s="527"/>
      <c r="AD15" s="527"/>
      <c r="AE15" s="527"/>
      <c r="AF15" s="527"/>
      <c r="AG15" s="527"/>
      <c r="AH15" s="527"/>
      <c r="AI15" s="527"/>
      <c r="AJ15" s="527"/>
      <c r="AK15" s="528"/>
    </row>
    <row r="16" spans="1:48" x14ac:dyDescent="0.25">
      <c r="A16" s="518" t="s">
        <v>224</v>
      </c>
      <c r="B16" s="518">
        <v>2021</v>
      </c>
      <c r="C16" s="523" t="s">
        <v>222</v>
      </c>
      <c r="D16" s="524"/>
      <c r="E16" s="524"/>
      <c r="F16" s="524"/>
      <c r="G16" s="524"/>
      <c r="H16" s="524"/>
      <c r="I16" s="524"/>
      <c r="J16" s="524"/>
      <c r="K16" s="524"/>
      <c r="L16" s="524"/>
      <c r="M16" s="524"/>
      <c r="N16" s="524"/>
      <c r="O16" s="524"/>
      <c r="P16" s="524"/>
      <c r="Q16" s="524"/>
      <c r="R16" s="524"/>
      <c r="S16" s="524"/>
      <c r="T16" s="524"/>
      <c r="U16" s="524"/>
      <c r="V16" s="524"/>
      <c r="W16" s="524"/>
      <c r="X16" s="524"/>
      <c r="Y16" s="524"/>
      <c r="Z16" s="524"/>
      <c r="AA16" s="524"/>
      <c r="AB16" s="524"/>
      <c r="AC16" s="524"/>
      <c r="AD16" s="524"/>
      <c r="AE16" s="524"/>
      <c r="AF16" s="524"/>
      <c r="AG16" s="524"/>
      <c r="AH16" s="524"/>
      <c r="AI16" s="524"/>
      <c r="AJ16" s="524"/>
      <c r="AK16" s="525"/>
    </row>
    <row r="17" spans="1:37" ht="99.95" customHeight="1" x14ac:dyDescent="0.25">
      <c r="A17" s="519"/>
      <c r="B17" s="520"/>
      <c r="C17" s="526"/>
      <c r="D17" s="527"/>
      <c r="E17" s="527"/>
      <c r="F17" s="527"/>
      <c r="G17" s="527"/>
      <c r="H17" s="527"/>
      <c r="I17" s="527"/>
      <c r="J17" s="527"/>
      <c r="K17" s="527"/>
      <c r="L17" s="527"/>
      <c r="M17" s="527"/>
      <c r="N17" s="527"/>
      <c r="O17" s="527"/>
      <c r="P17" s="527"/>
      <c r="Q17" s="527"/>
      <c r="R17" s="527"/>
      <c r="S17" s="527"/>
      <c r="T17" s="527"/>
      <c r="U17" s="527"/>
      <c r="V17" s="527"/>
      <c r="W17" s="527"/>
      <c r="X17" s="527"/>
      <c r="Y17" s="527"/>
      <c r="Z17" s="527"/>
      <c r="AA17" s="527"/>
      <c r="AB17" s="527"/>
      <c r="AC17" s="527"/>
      <c r="AD17" s="527"/>
      <c r="AE17" s="527"/>
      <c r="AF17" s="527"/>
      <c r="AG17" s="527"/>
      <c r="AH17" s="527"/>
      <c r="AI17" s="527"/>
      <c r="AJ17" s="527"/>
      <c r="AK17" s="528"/>
    </row>
    <row r="18" spans="1:37" x14ac:dyDescent="0.25">
      <c r="A18" s="518" t="s">
        <v>225</v>
      </c>
      <c r="B18" s="518">
        <v>2021</v>
      </c>
      <c r="C18" s="523" t="s">
        <v>222</v>
      </c>
      <c r="D18" s="524"/>
      <c r="E18" s="524"/>
      <c r="F18" s="524"/>
      <c r="G18" s="524"/>
      <c r="H18" s="524"/>
      <c r="I18" s="524"/>
      <c r="J18" s="524"/>
      <c r="K18" s="524"/>
      <c r="L18" s="524"/>
      <c r="M18" s="524"/>
      <c r="N18" s="524"/>
      <c r="O18" s="524"/>
      <c r="P18" s="524"/>
      <c r="Q18" s="524"/>
      <c r="R18" s="524"/>
      <c r="S18" s="524"/>
      <c r="T18" s="524"/>
      <c r="U18" s="524"/>
      <c r="V18" s="524"/>
      <c r="W18" s="524"/>
      <c r="X18" s="524"/>
      <c r="Y18" s="524"/>
      <c r="Z18" s="524"/>
      <c r="AA18" s="524"/>
      <c r="AB18" s="524"/>
      <c r="AC18" s="524"/>
      <c r="AD18" s="524"/>
      <c r="AE18" s="524"/>
      <c r="AF18" s="524"/>
      <c r="AG18" s="524"/>
      <c r="AH18" s="524"/>
      <c r="AI18" s="524"/>
      <c r="AJ18" s="524"/>
      <c r="AK18" s="525"/>
    </row>
    <row r="19" spans="1:37" ht="99.95" customHeight="1" x14ac:dyDescent="0.25">
      <c r="A19" s="519"/>
      <c r="B19" s="520"/>
      <c r="C19" s="526"/>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7"/>
      <c r="AI19" s="527"/>
      <c r="AJ19" s="527"/>
      <c r="AK19" s="528"/>
    </row>
    <row r="20" spans="1:37" x14ac:dyDescent="0.25">
      <c r="A20" s="518" t="s">
        <v>226</v>
      </c>
      <c r="B20" s="518">
        <v>2021</v>
      </c>
      <c r="C20" s="523" t="s">
        <v>222</v>
      </c>
      <c r="D20" s="524"/>
      <c r="E20" s="524"/>
      <c r="F20" s="524"/>
      <c r="G20" s="524"/>
      <c r="H20" s="524"/>
      <c r="I20" s="524"/>
      <c r="J20" s="524"/>
      <c r="K20" s="524"/>
      <c r="L20" s="524"/>
      <c r="M20" s="524"/>
      <c r="N20" s="524"/>
      <c r="O20" s="524"/>
      <c r="P20" s="524"/>
      <c r="Q20" s="524"/>
      <c r="R20" s="524"/>
      <c r="S20" s="524"/>
      <c r="T20" s="524"/>
      <c r="U20" s="524"/>
      <c r="V20" s="524"/>
      <c r="W20" s="524"/>
      <c r="X20" s="524"/>
      <c r="Y20" s="524"/>
      <c r="Z20" s="524"/>
      <c r="AA20" s="524"/>
      <c r="AB20" s="524"/>
      <c r="AC20" s="524"/>
      <c r="AD20" s="524"/>
      <c r="AE20" s="524"/>
      <c r="AF20" s="524"/>
      <c r="AG20" s="524"/>
      <c r="AH20" s="524"/>
      <c r="AI20" s="524"/>
      <c r="AJ20" s="524"/>
      <c r="AK20" s="525"/>
    </row>
    <row r="21" spans="1:37" ht="99.95" customHeight="1" x14ac:dyDescent="0.25">
      <c r="A21" s="519"/>
      <c r="B21" s="520"/>
      <c r="C21" s="526"/>
      <c r="D21" s="527"/>
      <c r="E21" s="527"/>
      <c r="F21" s="527"/>
      <c r="G21" s="527"/>
      <c r="H21" s="527"/>
      <c r="I21" s="527"/>
      <c r="J21" s="527"/>
      <c r="K21" s="527"/>
      <c r="L21" s="527"/>
      <c r="M21" s="527"/>
      <c r="N21" s="527"/>
      <c r="O21" s="527"/>
      <c r="P21" s="527"/>
      <c r="Q21" s="527"/>
      <c r="R21" s="527"/>
      <c r="S21" s="527"/>
      <c r="T21" s="527"/>
      <c r="U21" s="527"/>
      <c r="V21" s="527"/>
      <c r="W21" s="527"/>
      <c r="X21" s="527"/>
      <c r="Y21" s="527"/>
      <c r="Z21" s="527"/>
      <c r="AA21" s="527"/>
      <c r="AB21" s="527"/>
      <c r="AC21" s="527"/>
      <c r="AD21" s="527"/>
      <c r="AE21" s="527"/>
      <c r="AF21" s="527"/>
      <c r="AG21" s="527"/>
      <c r="AH21" s="527"/>
      <c r="AI21" s="527"/>
      <c r="AJ21" s="527"/>
      <c r="AK21" s="528"/>
    </row>
    <row r="22" spans="1:37" x14ac:dyDescent="0.25">
      <c r="A22" s="518" t="s">
        <v>227</v>
      </c>
      <c r="B22" s="518">
        <v>2021</v>
      </c>
      <c r="C22" s="523" t="s">
        <v>222</v>
      </c>
      <c r="D22" s="524"/>
      <c r="E22" s="524"/>
      <c r="F22" s="524"/>
      <c r="G22" s="524"/>
      <c r="H22" s="524"/>
      <c r="I22" s="524"/>
      <c r="J22" s="524"/>
      <c r="K22" s="524"/>
      <c r="L22" s="524"/>
      <c r="M22" s="524"/>
      <c r="N22" s="524"/>
      <c r="O22" s="524"/>
      <c r="P22" s="524"/>
      <c r="Q22" s="524"/>
      <c r="R22" s="524"/>
      <c r="S22" s="524"/>
      <c r="T22" s="524"/>
      <c r="U22" s="524"/>
      <c r="V22" s="524"/>
      <c r="W22" s="524"/>
      <c r="X22" s="524"/>
      <c r="Y22" s="524"/>
      <c r="Z22" s="524"/>
      <c r="AA22" s="524"/>
      <c r="AB22" s="524"/>
      <c r="AC22" s="524"/>
      <c r="AD22" s="524"/>
      <c r="AE22" s="524"/>
      <c r="AF22" s="524"/>
      <c r="AG22" s="524"/>
      <c r="AH22" s="524"/>
      <c r="AI22" s="524"/>
      <c r="AJ22" s="524"/>
      <c r="AK22" s="525"/>
    </row>
    <row r="23" spans="1:37" ht="99.95" customHeight="1" x14ac:dyDescent="0.25">
      <c r="A23" s="519"/>
      <c r="B23" s="520"/>
      <c r="C23" s="526"/>
      <c r="D23" s="527"/>
      <c r="E23" s="527"/>
      <c r="F23" s="527"/>
      <c r="G23" s="527"/>
      <c r="H23" s="527"/>
      <c r="I23" s="527"/>
      <c r="J23" s="527"/>
      <c r="K23" s="527"/>
      <c r="L23" s="527"/>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8"/>
    </row>
    <row r="24" spans="1:37" x14ac:dyDescent="0.25">
      <c r="A24" s="518" t="s">
        <v>228</v>
      </c>
      <c r="B24" s="518">
        <v>2022</v>
      </c>
      <c r="C24" s="523" t="s">
        <v>222</v>
      </c>
      <c r="D24" s="524"/>
      <c r="E24" s="524"/>
      <c r="F24" s="524"/>
      <c r="G24" s="524"/>
      <c r="H24" s="524"/>
      <c r="I24" s="524"/>
      <c r="J24" s="524"/>
      <c r="K24" s="524"/>
      <c r="L24" s="524"/>
      <c r="M24" s="524"/>
      <c r="N24" s="524"/>
      <c r="O24" s="524"/>
      <c r="P24" s="524"/>
      <c r="Q24" s="524"/>
      <c r="R24" s="524"/>
      <c r="S24" s="524"/>
      <c r="T24" s="524"/>
      <c r="U24" s="524"/>
      <c r="V24" s="524"/>
      <c r="W24" s="524"/>
      <c r="X24" s="524"/>
      <c r="Y24" s="524"/>
      <c r="Z24" s="524"/>
      <c r="AA24" s="524"/>
      <c r="AB24" s="524"/>
      <c r="AC24" s="524"/>
      <c r="AD24" s="524"/>
      <c r="AE24" s="524"/>
      <c r="AF24" s="524"/>
      <c r="AG24" s="524"/>
      <c r="AH24" s="524"/>
      <c r="AI24" s="524"/>
      <c r="AJ24" s="524"/>
      <c r="AK24" s="525"/>
    </row>
    <row r="25" spans="1:37" ht="99.95" customHeight="1" x14ac:dyDescent="0.25">
      <c r="A25" s="519"/>
      <c r="B25" s="520"/>
      <c r="C25" s="526"/>
      <c r="D25" s="527"/>
      <c r="E25" s="527"/>
      <c r="F25" s="527"/>
      <c r="G25" s="527"/>
      <c r="H25" s="527"/>
      <c r="I25" s="527"/>
      <c r="J25" s="527"/>
      <c r="K25" s="527"/>
      <c r="L25" s="527"/>
      <c r="M25" s="527"/>
      <c r="N25" s="527"/>
      <c r="O25" s="527"/>
      <c r="P25" s="527"/>
      <c r="Q25" s="527"/>
      <c r="R25" s="527"/>
      <c r="S25" s="527"/>
      <c r="T25" s="527"/>
      <c r="U25" s="527"/>
      <c r="V25" s="527"/>
      <c r="W25" s="527"/>
      <c r="X25" s="527"/>
      <c r="Y25" s="527"/>
      <c r="Z25" s="527"/>
      <c r="AA25" s="527"/>
      <c r="AB25" s="527"/>
      <c r="AC25" s="527"/>
      <c r="AD25" s="527"/>
      <c r="AE25" s="527"/>
      <c r="AF25" s="527"/>
      <c r="AG25" s="527"/>
      <c r="AH25" s="527"/>
      <c r="AI25" s="527"/>
      <c r="AJ25" s="527"/>
      <c r="AK25" s="528"/>
    </row>
    <row r="26" spans="1:37" x14ac:dyDescent="0.25">
      <c r="A26" s="518" t="s">
        <v>229</v>
      </c>
      <c r="B26" s="518">
        <v>2022</v>
      </c>
      <c r="C26" s="523" t="s">
        <v>222</v>
      </c>
      <c r="D26" s="524"/>
      <c r="E26" s="524"/>
      <c r="F26" s="524"/>
      <c r="G26" s="524"/>
      <c r="H26" s="524"/>
      <c r="I26" s="524"/>
      <c r="J26" s="524"/>
      <c r="K26" s="524"/>
      <c r="L26" s="524"/>
      <c r="M26" s="524"/>
      <c r="N26" s="524"/>
      <c r="O26" s="524"/>
      <c r="P26" s="524"/>
      <c r="Q26" s="524"/>
      <c r="R26" s="524"/>
      <c r="S26" s="524"/>
      <c r="T26" s="524"/>
      <c r="U26" s="524"/>
      <c r="V26" s="524"/>
      <c r="W26" s="524"/>
      <c r="X26" s="524"/>
      <c r="Y26" s="524"/>
      <c r="Z26" s="524"/>
      <c r="AA26" s="524"/>
      <c r="AB26" s="524"/>
      <c r="AC26" s="524"/>
      <c r="AD26" s="524"/>
      <c r="AE26" s="524"/>
      <c r="AF26" s="524"/>
      <c r="AG26" s="524"/>
      <c r="AH26" s="524"/>
      <c r="AI26" s="524"/>
      <c r="AJ26" s="524"/>
      <c r="AK26" s="525"/>
    </row>
    <row r="27" spans="1:37" ht="99.95" customHeight="1" x14ac:dyDescent="0.25">
      <c r="A27" s="519"/>
      <c r="B27" s="520"/>
      <c r="C27" s="526"/>
      <c r="D27" s="527"/>
      <c r="E27" s="527"/>
      <c r="F27" s="527"/>
      <c r="G27" s="527"/>
      <c r="H27" s="527"/>
      <c r="I27" s="527"/>
      <c r="J27" s="527"/>
      <c r="K27" s="527"/>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27"/>
      <c r="AI27" s="527"/>
      <c r="AJ27" s="527"/>
      <c r="AK27" s="528"/>
    </row>
    <row r="28" spans="1:37" x14ac:dyDescent="0.25">
      <c r="A28" s="518" t="s">
        <v>230</v>
      </c>
      <c r="B28" s="518">
        <v>2022</v>
      </c>
      <c r="C28" s="523" t="s">
        <v>222</v>
      </c>
      <c r="D28" s="524"/>
      <c r="E28" s="524"/>
      <c r="F28" s="524"/>
      <c r="G28" s="524"/>
      <c r="H28" s="524"/>
      <c r="I28" s="524"/>
      <c r="J28" s="524"/>
      <c r="K28" s="524"/>
      <c r="L28" s="524"/>
      <c r="M28" s="524"/>
      <c r="N28" s="524"/>
      <c r="O28" s="524"/>
      <c r="P28" s="524"/>
      <c r="Q28" s="524"/>
      <c r="R28" s="524"/>
      <c r="S28" s="524"/>
      <c r="T28" s="524"/>
      <c r="U28" s="524"/>
      <c r="V28" s="524"/>
      <c r="W28" s="524"/>
      <c r="X28" s="524"/>
      <c r="Y28" s="524"/>
      <c r="Z28" s="524"/>
      <c r="AA28" s="524"/>
      <c r="AB28" s="524"/>
      <c r="AC28" s="524"/>
      <c r="AD28" s="524"/>
      <c r="AE28" s="524"/>
      <c r="AF28" s="524"/>
      <c r="AG28" s="524"/>
      <c r="AH28" s="524"/>
      <c r="AI28" s="524"/>
      <c r="AJ28" s="524"/>
      <c r="AK28" s="525"/>
    </row>
    <row r="29" spans="1:37" ht="99.95" customHeight="1" x14ac:dyDescent="0.25">
      <c r="A29" s="519"/>
      <c r="B29" s="520"/>
      <c r="C29" s="526"/>
      <c r="D29" s="527"/>
      <c r="E29" s="527"/>
      <c r="F29" s="527"/>
      <c r="G29" s="527"/>
      <c r="H29" s="527"/>
      <c r="I29" s="527"/>
      <c r="J29" s="527"/>
      <c r="K29" s="527"/>
      <c r="L29" s="527"/>
      <c r="M29" s="527"/>
      <c r="N29" s="527"/>
      <c r="O29" s="527"/>
      <c r="P29" s="527"/>
      <c r="Q29" s="527"/>
      <c r="R29" s="527"/>
      <c r="S29" s="527"/>
      <c r="T29" s="527"/>
      <c r="U29" s="527"/>
      <c r="V29" s="527"/>
      <c r="W29" s="527"/>
      <c r="X29" s="527"/>
      <c r="Y29" s="527"/>
      <c r="Z29" s="527"/>
      <c r="AA29" s="527"/>
      <c r="AB29" s="527"/>
      <c r="AC29" s="527"/>
      <c r="AD29" s="527"/>
      <c r="AE29" s="527"/>
      <c r="AF29" s="527"/>
      <c r="AG29" s="527"/>
      <c r="AH29" s="527"/>
      <c r="AI29" s="527"/>
      <c r="AJ29" s="527"/>
      <c r="AK29" s="528"/>
    </row>
    <row r="30" spans="1:37" x14ac:dyDescent="0.25">
      <c r="A30" s="518" t="s">
        <v>231</v>
      </c>
      <c r="B30" s="518">
        <v>2022</v>
      </c>
      <c r="C30" s="523" t="s">
        <v>222</v>
      </c>
      <c r="D30" s="524"/>
      <c r="E30" s="524"/>
      <c r="F30" s="524"/>
      <c r="G30" s="524"/>
      <c r="H30" s="524"/>
      <c r="I30" s="524"/>
      <c r="J30" s="524"/>
      <c r="K30" s="524"/>
      <c r="L30" s="524"/>
      <c r="M30" s="524"/>
      <c r="N30" s="524"/>
      <c r="O30" s="524"/>
      <c r="P30" s="524"/>
      <c r="Q30" s="524"/>
      <c r="R30" s="524"/>
      <c r="S30" s="524"/>
      <c r="T30" s="524"/>
      <c r="U30" s="524"/>
      <c r="V30" s="524"/>
      <c r="W30" s="524"/>
      <c r="X30" s="524"/>
      <c r="Y30" s="524"/>
      <c r="Z30" s="524"/>
      <c r="AA30" s="524"/>
      <c r="AB30" s="524"/>
      <c r="AC30" s="524"/>
      <c r="AD30" s="524"/>
      <c r="AE30" s="524"/>
      <c r="AF30" s="524"/>
      <c r="AG30" s="524"/>
      <c r="AH30" s="524"/>
      <c r="AI30" s="524"/>
      <c r="AJ30" s="524"/>
      <c r="AK30" s="525"/>
    </row>
    <row r="31" spans="1:37" ht="99.95" customHeight="1" x14ac:dyDescent="0.25">
      <c r="A31" s="519"/>
      <c r="B31" s="520"/>
      <c r="C31" s="526"/>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8"/>
    </row>
    <row r="32" spans="1:37" x14ac:dyDescent="0.25">
      <c r="A32" s="518" t="s">
        <v>232</v>
      </c>
      <c r="B32" s="518">
        <v>2022</v>
      </c>
      <c r="C32" s="523" t="s">
        <v>222</v>
      </c>
      <c r="D32" s="524"/>
      <c r="E32" s="524"/>
      <c r="F32" s="524"/>
      <c r="G32" s="524"/>
      <c r="H32" s="524"/>
      <c r="I32" s="524"/>
      <c r="J32" s="524"/>
      <c r="K32" s="524"/>
      <c r="L32" s="524"/>
      <c r="M32" s="524"/>
      <c r="N32" s="524"/>
      <c r="O32" s="524"/>
      <c r="P32" s="524"/>
      <c r="Q32" s="524"/>
      <c r="R32" s="524"/>
      <c r="S32" s="524"/>
      <c r="T32" s="524"/>
      <c r="U32" s="524"/>
      <c r="V32" s="524"/>
      <c r="W32" s="524"/>
      <c r="X32" s="524"/>
      <c r="Y32" s="524"/>
      <c r="Z32" s="524"/>
      <c r="AA32" s="524"/>
      <c r="AB32" s="524"/>
      <c r="AC32" s="524"/>
      <c r="AD32" s="524"/>
      <c r="AE32" s="524"/>
      <c r="AF32" s="524"/>
      <c r="AG32" s="524"/>
      <c r="AH32" s="524"/>
      <c r="AI32" s="524"/>
      <c r="AJ32" s="524"/>
      <c r="AK32" s="525"/>
    </row>
    <row r="33" spans="1:37" ht="99.95" customHeight="1" x14ac:dyDescent="0.25">
      <c r="A33" s="519"/>
      <c r="B33" s="520"/>
      <c r="C33" s="526"/>
      <c r="D33" s="527"/>
      <c r="E33" s="527"/>
      <c r="F33" s="527"/>
      <c r="G33" s="527"/>
      <c r="H33" s="527"/>
      <c r="I33" s="527"/>
      <c r="J33" s="527"/>
      <c r="K33" s="527"/>
      <c r="L33" s="527"/>
      <c r="M33" s="527"/>
      <c r="N33" s="527"/>
      <c r="O33" s="527"/>
      <c r="P33" s="527"/>
      <c r="Q33" s="527"/>
      <c r="R33" s="527"/>
      <c r="S33" s="527"/>
      <c r="T33" s="527"/>
      <c r="U33" s="527"/>
      <c r="V33" s="527"/>
      <c r="W33" s="527"/>
      <c r="X33" s="527"/>
      <c r="Y33" s="527"/>
      <c r="Z33" s="527"/>
      <c r="AA33" s="527"/>
      <c r="AB33" s="527"/>
      <c r="AC33" s="527"/>
      <c r="AD33" s="527"/>
      <c r="AE33" s="527"/>
      <c r="AF33" s="527"/>
      <c r="AG33" s="527"/>
      <c r="AH33" s="527"/>
      <c r="AI33" s="527"/>
      <c r="AJ33" s="527"/>
      <c r="AK33" s="528"/>
    </row>
    <row r="34" spans="1:37" x14ac:dyDescent="0.25">
      <c r="A34" s="521" t="s">
        <v>233</v>
      </c>
      <c r="B34" s="518">
        <v>2022</v>
      </c>
      <c r="C34" s="523" t="s">
        <v>222</v>
      </c>
      <c r="D34" s="524"/>
      <c r="E34" s="524"/>
      <c r="F34" s="524"/>
      <c r="G34" s="524"/>
      <c r="H34" s="524"/>
      <c r="I34" s="524"/>
      <c r="J34" s="524"/>
      <c r="K34" s="524"/>
      <c r="L34" s="524"/>
      <c r="M34" s="524"/>
      <c r="N34" s="524"/>
      <c r="O34" s="524"/>
      <c r="P34" s="524"/>
      <c r="Q34" s="524"/>
      <c r="R34" s="524"/>
      <c r="S34" s="524"/>
      <c r="T34" s="524"/>
      <c r="U34" s="524"/>
      <c r="V34" s="524"/>
      <c r="W34" s="524"/>
      <c r="X34" s="524"/>
      <c r="Y34" s="524"/>
      <c r="Z34" s="524"/>
      <c r="AA34" s="524"/>
      <c r="AB34" s="524"/>
      <c r="AC34" s="524"/>
      <c r="AD34" s="524"/>
      <c r="AE34" s="524"/>
      <c r="AF34" s="524"/>
      <c r="AG34" s="524"/>
      <c r="AH34" s="524"/>
      <c r="AI34" s="524"/>
      <c r="AJ34" s="524"/>
      <c r="AK34" s="525"/>
    </row>
    <row r="35" spans="1:37" ht="99.95" customHeight="1" x14ac:dyDescent="0.25">
      <c r="A35" s="522"/>
      <c r="B35" s="520"/>
      <c r="C35" s="529"/>
      <c r="D35" s="530"/>
      <c r="E35" s="530"/>
      <c r="F35" s="530"/>
      <c r="G35" s="530"/>
      <c r="H35" s="530"/>
      <c r="I35" s="530"/>
      <c r="J35" s="530"/>
      <c r="K35" s="530"/>
      <c r="L35" s="530"/>
      <c r="M35" s="530"/>
      <c r="N35" s="530"/>
      <c r="O35" s="530"/>
      <c r="P35" s="530"/>
      <c r="Q35" s="530"/>
      <c r="R35" s="530"/>
      <c r="S35" s="530"/>
      <c r="T35" s="530"/>
      <c r="U35" s="530"/>
      <c r="V35" s="530"/>
      <c r="W35" s="530"/>
      <c r="X35" s="530"/>
      <c r="Y35" s="530"/>
      <c r="Z35" s="530"/>
      <c r="AA35" s="530"/>
      <c r="AB35" s="530"/>
      <c r="AC35" s="530"/>
      <c r="AD35" s="530"/>
      <c r="AE35" s="530"/>
      <c r="AF35" s="530"/>
      <c r="AG35" s="530"/>
      <c r="AH35" s="530"/>
      <c r="AI35" s="530"/>
      <c r="AJ35" s="530"/>
      <c r="AK35" s="531"/>
    </row>
  </sheetData>
  <sheetProtection algorithmName="SHA-512" hashValue="qpZSJhrrLlrojEGxrU3I2U6REHCJXuYUh/ae6NaLbXiti/6uTVaqNICbb0G3V2z6o5HC9lxQD/xsjWmmqCaTUA==" saltValue="PBKT0Gp+/vzWJJAdgOHk3A==" spinCount="100000" sheet="1" objects="1" scenarios="1"/>
  <mergeCells count="74">
    <mergeCell ref="A1:AK1"/>
    <mergeCell ref="A2:AK2"/>
    <mergeCell ref="A3:AK3"/>
    <mergeCell ref="A5:F5"/>
    <mergeCell ref="A11:AK11"/>
    <mergeCell ref="A10:AK10"/>
    <mergeCell ref="A9:F9"/>
    <mergeCell ref="G9:H9"/>
    <mergeCell ref="K9:L9"/>
    <mergeCell ref="I9:J9"/>
    <mergeCell ref="Y9:AK9"/>
    <mergeCell ref="Q5:X5"/>
    <mergeCell ref="Q6:X6"/>
    <mergeCell ref="Q7:X7"/>
    <mergeCell ref="Q8:X8"/>
    <mergeCell ref="Q9:X9"/>
    <mergeCell ref="C12:AK12"/>
    <mergeCell ref="C13:AK13"/>
    <mergeCell ref="C14:AK14"/>
    <mergeCell ref="C15:AK15"/>
    <mergeCell ref="A18:A19"/>
    <mergeCell ref="B18:B19"/>
    <mergeCell ref="C16:AK16"/>
    <mergeCell ref="C17:AK17"/>
    <mergeCell ref="C18:AK18"/>
    <mergeCell ref="C19:AK19"/>
    <mergeCell ref="A12:A13"/>
    <mergeCell ref="A16:A17"/>
    <mergeCell ref="B16:B17"/>
    <mergeCell ref="A14:A15"/>
    <mergeCell ref="B14:B15"/>
    <mergeCell ref="A22:A23"/>
    <mergeCell ref="B22:B23"/>
    <mergeCell ref="C20:AK20"/>
    <mergeCell ref="C21:AK21"/>
    <mergeCell ref="C22:AK22"/>
    <mergeCell ref="C23:AK23"/>
    <mergeCell ref="A20:A21"/>
    <mergeCell ref="B20:B21"/>
    <mergeCell ref="A26:A27"/>
    <mergeCell ref="B26:B27"/>
    <mergeCell ref="C24:AK24"/>
    <mergeCell ref="C25:AK25"/>
    <mergeCell ref="C26:AK26"/>
    <mergeCell ref="C27:AK27"/>
    <mergeCell ref="A24:A25"/>
    <mergeCell ref="B24:B25"/>
    <mergeCell ref="A30:A31"/>
    <mergeCell ref="B30:B31"/>
    <mergeCell ref="C28:AK28"/>
    <mergeCell ref="C29:AK29"/>
    <mergeCell ref="C30:AK30"/>
    <mergeCell ref="C31:AK31"/>
    <mergeCell ref="A28:A29"/>
    <mergeCell ref="B28:B29"/>
    <mergeCell ref="A32:A33"/>
    <mergeCell ref="B32:B33"/>
    <mergeCell ref="A34:A35"/>
    <mergeCell ref="B34:B35"/>
    <mergeCell ref="C32:AK32"/>
    <mergeCell ref="C33:AK33"/>
    <mergeCell ref="C34:AK34"/>
    <mergeCell ref="C35:AK35"/>
    <mergeCell ref="M9:P9"/>
    <mergeCell ref="A4:AK4"/>
    <mergeCell ref="G5:P5"/>
    <mergeCell ref="G6:P6"/>
    <mergeCell ref="G7:P8"/>
    <mergeCell ref="A7:F8"/>
    <mergeCell ref="Y5:AK5"/>
    <mergeCell ref="Y6:AK6"/>
    <mergeCell ref="Y7:AK7"/>
    <mergeCell ref="Y8:AK8"/>
    <mergeCell ref="A6:F6"/>
  </mergeCell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'pick list '!$B$2:$B$13</xm:f>
          </x14:formula1>
          <xm:sqref>I9</xm:sqref>
        </x14:dataValidation>
        <x14:dataValidation type="list" allowBlank="1" showInputMessage="1" showErrorMessage="1" xr:uid="{04F7A378-B01B-4573-9D13-8D7FBAC5DFA8}">
          <x14:formula1>
            <xm:f>'pick list '!$C$4:$C$10</xm:f>
          </x14:formula1>
          <xm:sqref>M9:P9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sheetPr>
  <dimension ref="A1:BA1014"/>
  <sheetViews>
    <sheetView zoomScale="90" zoomScaleNormal="90" workbookViewId="0">
      <pane ySplit="1" topLeftCell="A5" activePane="bottomLeft" state="frozen"/>
      <selection activeCell="N1" sqref="N1"/>
      <selection pane="bottomLeft" activeCell="B15" sqref="B15:M90"/>
    </sheetView>
  </sheetViews>
  <sheetFormatPr defaultRowHeight="15" x14ac:dyDescent="0.25"/>
  <cols>
    <col min="1" max="1" width="5.7109375" customWidth="1"/>
    <col min="2" max="2" width="12.7109375" customWidth="1"/>
    <col min="3" max="3" width="13.7109375" customWidth="1"/>
    <col min="4" max="4" width="15" customWidth="1"/>
    <col min="5" max="5" width="12.7109375" customWidth="1"/>
    <col min="6" max="6" width="18.28515625" customWidth="1"/>
    <col min="7" max="7" width="9.28515625" customWidth="1"/>
    <col min="8" max="8" width="8.7109375" customWidth="1"/>
    <col min="9" max="9" width="20.7109375" customWidth="1"/>
    <col min="10" max="10" width="17.85546875" customWidth="1"/>
    <col min="11" max="11" width="28.7109375" customWidth="1"/>
    <col min="12" max="12" width="12.7109375" customWidth="1"/>
    <col min="13" max="13" width="15.85546875" customWidth="1"/>
    <col min="14" max="14" width="18.28515625" customWidth="1"/>
    <col min="15" max="19" width="12.7109375" customWidth="1"/>
    <col min="20" max="20" width="14.42578125" customWidth="1"/>
    <col min="21" max="21" width="12.7109375" customWidth="1"/>
    <col min="22" max="22" width="17.28515625" customWidth="1"/>
    <col min="23" max="23" width="12.7109375" customWidth="1"/>
    <col min="24" max="24" width="13.85546875" customWidth="1"/>
    <col min="25" max="32" width="6.7109375" customWidth="1"/>
    <col min="33" max="33" width="15.42578125" customWidth="1"/>
    <col min="34" max="34" width="6.7109375" customWidth="1"/>
    <col min="35" max="35" width="14.140625" customWidth="1"/>
    <col min="36" max="37" width="12.7109375" customWidth="1"/>
    <col min="38" max="38" width="13.7109375" customWidth="1"/>
    <col min="39" max="43" width="12.7109375" customWidth="1"/>
    <col min="44" max="45" width="17.140625" customWidth="1"/>
    <col min="46" max="46" width="12.7109375" customWidth="1"/>
    <col min="47" max="47" width="14.5703125" customWidth="1"/>
    <col min="48" max="48" width="18.140625" customWidth="1"/>
    <col min="49" max="49" width="21" customWidth="1"/>
    <col min="50" max="50" width="21.5703125" customWidth="1"/>
    <col min="51" max="51" width="50" customWidth="1"/>
    <col min="52" max="53" width="12.7109375" customWidth="1"/>
  </cols>
  <sheetData>
    <row r="1" spans="1:53" ht="60" customHeight="1" thickTop="1" thickBot="1" x14ac:dyDescent="0.3">
      <c r="A1" s="271" t="s">
        <v>234</v>
      </c>
      <c r="B1" s="259" t="s">
        <v>235</v>
      </c>
      <c r="C1" s="272" t="s">
        <v>236</v>
      </c>
      <c r="D1" s="273" t="s">
        <v>237</v>
      </c>
      <c r="E1" s="260" t="s">
        <v>238</v>
      </c>
      <c r="F1" s="278" t="s">
        <v>239</v>
      </c>
      <c r="G1" s="291" t="s">
        <v>240</v>
      </c>
      <c r="H1" s="274" t="s">
        <v>241</v>
      </c>
      <c r="I1" s="355" t="s">
        <v>242</v>
      </c>
      <c r="J1" s="275" t="s">
        <v>243</v>
      </c>
      <c r="K1" s="276" t="s">
        <v>244</v>
      </c>
      <c r="L1" s="277" t="s">
        <v>245</v>
      </c>
      <c r="M1" s="323" t="s">
        <v>246</v>
      </c>
      <c r="N1" s="325" t="s">
        <v>83</v>
      </c>
      <c r="O1" s="326" t="s">
        <v>247</v>
      </c>
      <c r="P1" s="327" t="s">
        <v>248</v>
      </c>
      <c r="Q1" s="326" t="s">
        <v>249</v>
      </c>
      <c r="R1" s="327" t="s">
        <v>250</v>
      </c>
      <c r="S1" s="328" t="s">
        <v>251</v>
      </c>
      <c r="T1" s="329" t="s">
        <v>252</v>
      </c>
      <c r="U1" s="330" t="s">
        <v>251</v>
      </c>
      <c r="V1" s="329" t="s">
        <v>253</v>
      </c>
      <c r="W1" s="331" t="s">
        <v>254</v>
      </c>
      <c r="X1" s="332" t="s">
        <v>102</v>
      </c>
      <c r="Y1" s="324" t="s">
        <v>255</v>
      </c>
      <c r="Z1" s="252" t="s">
        <v>256</v>
      </c>
      <c r="AA1" s="251" t="s">
        <v>257</v>
      </c>
      <c r="AB1" s="252" t="s">
        <v>258</v>
      </c>
      <c r="AC1" s="251" t="s">
        <v>259</v>
      </c>
      <c r="AD1" s="252" t="s">
        <v>260</v>
      </c>
      <c r="AE1" s="251" t="s">
        <v>261</v>
      </c>
      <c r="AF1" s="253" t="s">
        <v>262</v>
      </c>
      <c r="AG1" s="225" t="s">
        <v>263</v>
      </c>
      <c r="AH1" s="254" t="s">
        <v>264</v>
      </c>
      <c r="AI1" s="225" t="s">
        <v>265</v>
      </c>
      <c r="AJ1" s="392" t="s">
        <v>266</v>
      </c>
      <c r="AK1" s="389" t="s">
        <v>267</v>
      </c>
      <c r="AL1" s="390" t="s">
        <v>268</v>
      </c>
      <c r="AM1" s="394" t="s">
        <v>269</v>
      </c>
      <c r="AN1" s="395" t="s">
        <v>270</v>
      </c>
      <c r="AO1" s="148" t="s">
        <v>271</v>
      </c>
      <c r="AP1" s="392" t="s">
        <v>272</v>
      </c>
      <c r="AQ1" s="218" t="s">
        <v>273</v>
      </c>
      <c r="AR1" s="258" t="s">
        <v>274</v>
      </c>
      <c r="AS1" s="256" t="s">
        <v>275</v>
      </c>
      <c r="AT1" s="255" t="s">
        <v>276</v>
      </c>
      <c r="AU1" s="281" t="s">
        <v>277</v>
      </c>
      <c r="AV1" s="282" t="s">
        <v>278</v>
      </c>
      <c r="AW1" s="284" t="s">
        <v>279</v>
      </c>
      <c r="AX1" s="145" t="s">
        <v>280</v>
      </c>
      <c r="AY1" s="146" t="s">
        <v>281</v>
      </c>
      <c r="AZ1" s="147" t="s">
        <v>282</v>
      </c>
      <c r="BA1" s="147" t="s">
        <v>283</v>
      </c>
    </row>
    <row r="2" spans="1:53" ht="20.100000000000001" customHeight="1" thickTop="1" x14ac:dyDescent="0.25">
      <c r="A2" s="406" t="str">
        <f>'BASE GRANTEE SET UP &amp; INFO'!A1</f>
        <v>WV Bureau for Behavioral Health and Health Facilities - Traumatic Brain Injury (TBI) Program V20210501</v>
      </c>
      <c r="B2" s="590"/>
      <c r="C2" s="590"/>
      <c r="D2" s="590"/>
      <c r="E2" s="590"/>
      <c r="F2" s="590"/>
      <c r="G2" s="590"/>
      <c r="H2" s="590"/>
      <c r="I2" s="590"/>
      <c r="J2" s="590"/>
      <c r="K2" s="590"/>
      <c r="L2" s="590"/>
      <c r="M2" s="590"/>
      <c r="N2" s="590"/>
      <c r="O2" s="590"/>
      <c r="P2" s="590"/>
      <c r="Q2" s="155"/>
      <c r="R2" s="155"/>
      <c r="S2" s="155"/>
      <c r="T2" s="155"/>
      <c r="U2" s="155"/>
      <c r="V2" s="155"/>
      <c r="W2" s="155"/>
      <c r="X2" s="155"/>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row>
    <row r="3" spans="1:53" ht="20.100000000000001" customHeight="1" x14ac:dyDescent="0.25">
      <c r="A3" s="590" t="str">
        <f>'BASE GRANTEE SET UP &amp; INFO'!A2</f>
        <v>Fiscal Year 2022 (July 1, 2021- June 30, 2022) includes data elements from previous years</v>
      </c>
      <c r="B3" s="590"/>
      <c r="C3" s="590"/>
      <c r="D3" s="590"/>
      <c r="E3" s="590"/>
      <c r="F3" s="590"/>
      <c r="G3" s="590"/>
      <c r="H3" s="590"/>
      <c r="I3" s="590"/>
      <c r="J3" s="590"/>
      <c r="K3" s="590"/>
      <c r="L3" s="590"/>
      <c r="M3" s="590"/>
      <c r="N3" s="590"/>
      <c r="O3" s="590"/>
      <c r="P3" s="590"/>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row>
    <row r="4" spans="1:53" ht="20.100000000000001" customHeight="1" x14ac:dyDescent="0.25">
      <c r="A4" s="591" t="str">
        <f>'BASE GRANTEE SET UP &amp; INFO'!A3</f>
        <v xml:space="preserve">Program reports need to be submitted electronically, via e-mail to DHHRBBHReporting@wv.gov within 25 calendar days of the end of each month </v>
      </c>
      <c r="B4" s="591"/>
      <c r="C4" s="591"/>
      <c r="D4" s="591"/>
      <c r="E4" s="591"/>
      <c r="F4" s="591"/>
      <c r="G4" s="591"/>
      <c r="H4" s="591"/>
      <c r="I4" s="591"/>
      <c r="J4" s="591"/>
      <c r="K4" s="591"/>
      <c r="L4" s="591"/>
      <c r="M4" s="591"/>
      <c r="N4" s="591"/>
      <c r="O4" s="591"/>
      <c r="P4" s="591"/>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row>
    <row r="5" spans="1:53" ht="24.95" customHeight="1" x14ac:dyDescent="0.25">
      <c r="A5" s="580" t="s">
        <v>284</v>
      </c>
      <c r="B5" s="581"/>
      <c r="C5" s="581"/>
      <c r="D5" s="581"/>
      <c r="E5" s="581"/>
      <c r="F5" s="581"/>
      <c r="G5" s="581"/>
      <c r="H5" s="581"/>
      <c r="I5" s="581"/>
      <c r="J5" s="581"/>
      <c r="K5" s="581"/>
      <c r="L5" s="581"/>
      <c r="M5" s="364"/>
      <c r="N5" s="364"/>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row>
    <row r="6" spans="1:53" ht="24.95" customHeight="1" x14ac:dyDescent="0.25">
      <c r="A6" s="515" t="s">
        <v>204</v>
      </c>
      <c r="B6" s="516"/>
      <c r="C6" s="516"/>
      <c r="D6" s="516"/>
      <c r="E6" s="583" t="str">
        <f>'BASE GRANTEE SET UP &amp; INFO'!G5</f>
        <v xml:space="preserve">Traumatic Brain Injury (TBI) Program </v>
      </c>
      <c r="F6" s="584"/>
      <c r="G6" s="584"/>
      <c r="H6" s="585"/>
      <c r="I6" s="559" t="s">
        <v>31</v>
      </c>
      <c r="J6" s="560"/>
      <c r="K6" s="583" t="str">
        <f>'BASE GRANTEE SET UP &amp; INFO'!Y5</f>
        <v xml:space="preserve">WV University Research Corporation - WVU Center of Excellence in Disabilities </v>
      </c>
      <c r="L6" s="584"/>
      <c r="M6" s="584"/>
      <c r="N6" s="584"/>
      <c r="O6" s="152"/>
      <c r="P6" s="152"/>
      <c r="Q6" s="151"/>
      <c r="R6" s="151"/>
      <c r="S6" s="151"/>
      <c r="T6" s="151"/>
      <c r="U6" s="151"/>
      <c r="V6" s="151"/>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row>
    <row r="7" spans="1:53" ht="20.100000000000001" customHeight="1" x14ac:dyDescent="0.25">
      <c r="A7" s="515" t="s">
        <v>207</v>
      </c>
      <c r="B7" s="516"/>
      <c r="C7" s="516"/>
      <c r="D7" s="516"/>
      <c r="E7" s="583" t="str">
        <f>'BASE GRANTEE SET UP &amp; INFO'!G6</f>
        <v xml:space="preserve">TBI Program </v>
      </c>
      <c r="F7" s="584"/>
      <c r="G7" s="584"/>
      <c r="H7" s="585"/>
      <c r="I7" s="559" t="s">
        <v>209</v>
      </c>
      <c r="J7" s="560"/>
      <c r="K7" s="583">
        <f>'BASE GRANTEE SET UP &amp; INFO'!Y6</f>
        <v>0</v>
      </c>
      <c r="L7" s="584"/>
      <c r="M7" s="584"/>
      <c r="N7" s="584"/>
      <c r="O7" s="152"/>
      <c r="P7" s="152"/>
      <c r="Q7" s="151"/>
      <c r="R7" s="151"/>
      <c r="S7" s="151"/>
      <c r="T7" s="151"/>
      <c r="U7" s="151"/>
      <c r="V7" s="151"/>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row>
    <row r="8" spans="1:53" ht="20.100000000000001" customHeight="1" x14ac:dyDescent="0.25">
      <c r="A8" s="506" t="s">
        <v>210</v>
      </c>
      <c r="B8" s="507"/>
      <c r="C8" s="507"/>
      <c r="D8" s="508"/>
      <c r="E8" s="586" t="str">
        <f>'BASE GRANTEE SET UP &amp; INFO'!G7</f>
        <v>959 Hartman Run Road, Morgantown, WV 26506</v>
      </c>
      <c r="F8" s="587"/>
      <c r="G8" s="587"/>
      <c r="H8" s="588"/>
      <c r="I8" s="559" t="s">
        <v>212</v>
      </c>
      <c r="J8" s="560"/>
      <c r="K8" s="583">
        <f>'BASE GRANTEE SET UP &amp; INFO'!Y7</f>
        <v>0</v>
      </c>
      <c r="L8" s="584"/>
      <c r="M8" s="584"/>
      <c r="N8" s="584"/>
      <c r="O8" s="152"/>
      <c r="P8" s="152"/>
      <c r="Q8" s="151"/>
      <c r="R8" s="151"/>
      <c r="S8" s="151"/>
      <c r="T8" s="151"/>
      <c r="U8" s="151"/>
      <c r="V8" s="151"/>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3"/>
      <c r="AW8" s="152"/>
      <c r="AX8" s="152"/>
      <c r="AY8" s="152"/>
      <c r="AZ8" s="152"/>
      <c r="BA8" s="152"/>
    </row>
    <row r="9" spans="1:53" ht="15" customHeight="1" x14ac:dyDescent="0.25">
      <c r="A9" s="509"/>
      <c r="B9" s="510"/>
      <c r="C9" s="510"/>
      <c r="D9" s="511"/>
      <c r="E9" s="586"/>
      <c r="F9" s="587"/>
      <c r="G9" s="587"/>
      <c r="H9" s="588"/>
      <c r="I9" s="515" t="s">
        <v>213</v>
      </c>
      <c r="J9" s="516"/>
      <c r="K9" s="583">
        <f>'BASE GRANTEE SET UP &amp; INFO'!Y8</f>
        <v>0</v>
      </c>
      <c r="L9" s="584"/>
      <c r="M9" s="584"/>
      <c r="N9" s="584"/>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row>
    <row r="10" spans="1:53" ht="15" customHeight="1" x14ac:dyDescent="0.25">
      <c r="A10" s="582" t="s">
        <v>285</v>
      </c>
      <c r="B10" s="582"/>
      <c r="C10" s="582"/>
      <c r="D10" s="582"/>
      <c r="E10" s="359" t="s">
        <v>215</v>
      </c>
      <c r="F10" s="352" t="str">
        <f>'BASE GRANTEE SET UP &amp; INFO'!I9</f>
        <v>July</v>
      </c>
      <c r="G10" s="366" t="s">
        <v>217</v>
      </c>
      <c r="H10" s="352">
        <f>'BASE GRANTEE SET UP &amp; INFO'!M9</f>
        <v>2023</v>
      </c>
      <c r="I10" s="515" t="s">
        <v>218</v>
      </c>
      <c r="J10" s="516"/>
      <c r="K10" s="592">
        <f>'BASE GRANTEE SET UP &amp; INFO'!Y9</f>
        <v>0</v>
      </c>
      <c r="L10" s="593"/>
      <c r="M10" s="593"/>
      <c r="N10" s="593"/>
      <c r="O10" s="322"/>
      <c r="P10" s="32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row>
    <row r="11" spans="1:53" ht="20.100000000000001" customHeight="1" x14ac:dyDescent="0.25">
      <c r="A11" s="546" t="s">
        <v>286</v>
      </c>
      <c r="B11" s="546"/>
      <c r="C11" s="546"/>
      <c r="D11" s="546"/>
      <c r="E11" s="546"/>
      <c r="F11" s="546"/>
      <c r="G11" s="546"/>
      <c r="H11" s="546"/>
      <c r="I11" s="546"/>
      <c r="J11" s="546"/>
      <c r="K11" s="546"/>
      <c r="L11" s="546"/>
      <c r="M11" s="364"/>
      <c r="N11" s="364"/>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2"/>
      <c r="AV11" s="152"/>
      <c r="AW11" s="152"/>
      <c r="AX11" s="152"/>
      <c r="AY11" s="152"/>
      <c r="AZ11" s="152"/>
      <c r="BA11" s="152"/>
    </row>
    <row r="12" spans="1:53" ht="24.95" customHeight="1" thickBot="1" x14ac:dyDescent="0.3">
      <c r="A12" s="573" t="s">
        <v>287</v>
      </c>
      <c r="B12" s="574"/>
      <c r="C12" s="574"/>
      <c r="D12" s="574"/>
      <c r="E12" s="574"/>
      <c r="F12" s="574"/>
      <c r="G12" s="574"/>
      <c r="H12" s="574"/>
      <c r="I12" s="574"/>
      <c r="J12" s="574"/>
      <c r="K12" s="574"/>
      <c r="L12" s="574"/>
      <c r="M12" s="574"/>
      <c r="N12" s="574"/>
      <c r="O12" s="338"/>
      <c r="P12" s="338"/>
      <c r="Q12" s="338"/>
      <c r="R12" s="338"/>
      <c r="S12" s="338"/>
      <c r="T12" s="338"/>
      <c r="U12" s="338"/>
      <c r="V12" s="338"/>
      <c r="W12" s="338"/>
      <c r="X12" s="338"/>
      <c r="Y12" s="157"/>
      <c r="Z12" s="157"/>
      <c r="AA12" s="157"/>
      <c r="AB12" s="157"/>
      <c r="AC12" s="157"/>
      <c r="AD12" s="157"/>
      <c r="AE12" s="157"/>
      <c r="AF12" s="157"/>
      <c r="AG12" s="157"/>
      <c r="AH12" s="157"/>
      <c r="AI12" s="157"/>
      <c r="AJ12" s="157"/>
      <c r="AK12" s="157"/>
      <c r="AL12" s="157"/>
      <c r="AM12" s="157"/>
      <c r="AN12" s="157"/>
      <c r="AO12" s="157"/>
      <c r="AP12" s="157"/>
      <c r="AQ12" s="157"/>
      <c r="AR12" s="157"/>
      <c r="AS12" s="157"/>
      <c r="AT12" s="157"/>
      <c r="AU12" s="157"/>
      <c r="AV12" s="157"/>
      <c r="AW12" s="157"/>
      <c r="AX12" s="157"/>
      <c r="AY12" s="157"/>
      <c r="AZ12" s="157"/>
      <c r="BA12" s="157"/>
    </row>
    <row r="13" spans="1:53" ht="24.95" customHeight="1" thickTop="1" x14ac:dyDescent="0.25">
      <c r="A13" s="562" t="s">
        <v>288</v>
      </c>
      <c r="B13" s="563"/>
      <c r="C13" s="563"/>
      <c r="D13" s="563"/>
      <c r="E13" s="564"/>
      <c r="F13" s="565" t="s">
        <v>289</v>
      </c>
      <c r="G13" s="566"/>
      <c r="H13" s="566"/>
      <c r="I13" s="566"/>
      <c r="J13" s="567"/>
      <c r="K13" s="247" t="s">
        <v>290</v>
      </c>
      <c r="L13" s="78" t="s">
        <v>291</v>
      </c>
      <c r="M13" s="321" t="s">
        <v>292</v>
      </c>
      <c r="N13" s="570" t="s">
        <v>293</v>
      </c>
      <c r="O13" s="571"/>
      <c r="P13" s="571"/>
      <c r="Q13" s="571"/>
      <c r="R13" s="571"/>
      <c r="S13" s="571"/>
      <c r="T13" s="571"/>
      <c r="U13" s="571"/>
      <c r="V13" s="571"/>
      <c r="W13" s="571"/>
      <c r="X13" s="572"/>
      <c r="Y13" s="568" t="s">
        <v>294</v>
      </c>
      <c r="Z13" s="568"/>
      <c r="AA13" s="568"/>
      <c r="AB13" s="568"/>
      <c r="AC13" s="568"/>
      <c r="AD13" s="568"/>
      <c r="AE13" s="568"/>
      <c r="AF13" s="568"/>
      <c r="AG13" s="568"/>
      <c r="AH13" s="568"/>
      <c r="AI13" s="569"/>
      <c r="AJ13" s="589" t="s">
        <v>295</v>
      </c>
      <c r="AK13" s="568"/>
      <c r="AL13" s="568"/>
      <c r="AM13" s="568"/>
      <c r="AN13" s="568"/>
      <c r="AO13" s="568"/>
      <c r="AP13" s="568"/>
      <c r="AQ13" s="568"/>
      <c r="AR13" s="568"/>
      <c r="AS13" s="569"/>
      <c r="AT13" s="575" t="s">
        <v>296</v>
      </c>
      <c r="AU13" s="576"/>
      <c r="AV13" s="576"/>
      <c r="AW13" s="576"/>
      <c r="AX13" s="577"/>
      <c r="AY13" s="149" t="s">
        <v>297</v>
      </c>
      <c r="AZ13" s="578" t="s">
        <v>298</v>
      </c>
      <c r="BA13" s="579"/>
    </row>
    <row r="14" spans="1:53" ht="69.95" customHeight="1" x14ac:dyDescent="0.25">
      <c r="A14" s="26" t="s">
        <v>234</v>
      </c>
      <c r="B14" s="89" t="s">
        <v>299</v>
      </c>
      <c r="C14" s="270" t="s">
        <v>236</v>
      </c>
      <c r="D14" s="105" t="s">
        <v>237</v>
      </c>
      <c r="E14" s="106" t="s">
        <v>238</v>
      </c>
      <c r="F14" s="188" t="s">
        <v>239</v>
      </c>
      <c r="G14" s="292" t="s">
        <v>240</v>
      </c>
      <c r="H14" s="99" t="s">
        <v>241</v>
      </c>
      <c r="I14" s="354" t="s">
        <v>242</v>
      </c>
      <c r="J14" s="188" t="s">
        <v>243</v>
      </c>
      <c r="K14" s="223" t="s">
        <v>244</v>
      </c>
      <c r="L14" s="79" t="s">
        <v>300</v>
      </c>
      <c r="M14" s="104" t="s">
        <v>301</v>
      </c>
      <c r="N14" s="339" t="s">
        <v>302</v>
      </c>
      <c r="O14" s="85" t="s">
        <v>247</v>
      </c>
      <c r="P14" s="90" t="s">
        <v>248</v>
      </c>
      <c r="Q14" s="85" t="s">
        <v>249</v>
      </c>
      <c r="R14" s="86" t="s">
        <v>250</v>
      </c>
      <c r="S14" s="85" t="s">
        <v>251</v>
      </c>
      <c r="T14" s="293" t="s">
        <v>303</v>
      </c>
      <c r="U14" s="90" t="s">
        <v>251</v>
      </c>
      <c r="V14" s="293" t="s">
        <v>253</v>
      </c>
      <c r="W14" s="250" t="s">
        <v>254</v>
      </c>
      <c r="X14" s="340" t="s">
        <v>102</v>
      </c>
      <c r="Y14" s="335" t="s">
        <v>255</v>
      </c>
      <c r="Z14" s="311" t="s">
        <v>256</v>
      </c>
      <c r="AA14" s="310" t="s">
        <v>257</v>
      </c>
      <c r="AB14" s="311" t="s">
        <v>258</v>
      </c>
      <c r="AC14" s="310" t="s">
        <v>259</v>
      </c>
      <c r="AD14" s="32" t="s">
        <v>260</v>
      </c>
      <c r="AE14" s="31" t="s">
        <v>261</v>
      </c>
      <c r="AF14" s="224" t="s">
        <v>262</v>
      </c>
      <c r="AG14" s="349" t="s">
        <v>263</v>
      </c>
      <c r="AH14" s="350" t="s">
        <v>264</v>
      </c>
      <c r="AI14" s="226" t="s">
        <v>265</v>
      </c>
      <c r="AJ14" s="393" t="s">
        <v>266</v>
      </c>
      <c r="AK14" s="389" t="s">
        <v>267</v>
      </c>
      <c r="AL14" s="391" t="s">
        <v>268</v>
      </c>
      <c r="AM14" s="396" t="s">
        <v>269</v>
      </c>
      <c r="AN14" s="395" t="s">
        <v>270</v>
      </c>
      <c r="AO14" s="261" t="s">
        <v>271</v>
      </c>
      <c r="AP14" s="393" t="s">
        <v>272</v>
      </c>
      <c r="AQ14" s="262" t="s">
        <v>273</v>
      </c>
      <c r="AR14" s="258" t="s">
        <v>274</v>
      </c>
      <c r="AS14" s="256" t="s">
        <v>275</v>
      </c>
      <c r="AT14" s="257" t="s">
        <v>304</v>
      </c>
      <c r="AU14" s="281" t="s">
        <v>277</v>
      </c>
      <c r="AV14" s="283" t="s">
        <v>305</v>
      </c>
      <c r="AW14" s="87" t="s">
        <v>279</v>
      </c>
      <c r="AX14" s="145" t="s">
        <v>280</v>
      </c>
      <c r="AY14" s="353" t="s">
        <v>281</v>
      </c>
      <c r="AZ14" s="219" t="s">
        <v>282</v>
      </c>
      <c r="BA14" s="219" t="s">
        <v>283</v>
      </c>
    </row>
    <row r="15" spans="1:53" ht="50.1" customHeight="1" x14ac:dyDescent="0.25">
      <c r="A15" s="17">
        <f>ROW(A1)</f>
        <v>1</v>
      </c>
      <c r="B15" s="228"/>
      <c r="C15" s="221"/>
      <c r="D15" s="88"/>
      <c r="E15" s="100"/>
      <c r="F15" s="95"/>
      <c r="G15" s="114"/>
      <c r="H15" s="96"/>
      <c r="I15" s="97"/>
      <c r="J15" s="98"/>
      <c r="K15" s="101"/>
      <c r="L15" s="124"/>
      <c r="M15" s="333"/>
      <c r="N15" s="341"/>
      <c r="O15" s="190"/>
      <c r="P15" s="191"/>
      <c r="Q15" s="190"/>
      <c r="R15" s="191"/>
      <c r="S15" s="294"/>
      <c r="T15" s="300"/>
      <c r="U15" s="306"/>
      <c r="V15" s="308"/>
      <c r="W15" s="248"/>
      <c r="X15" s="342"/>
      <c r="Y15" s="336"/>
      <c r="Z15" s="123"/>
      <c r="AA15" s="33"/>
      <c r="AB15" s="123"/>
      <c r="AC15" s="33"/>
      <c r="AD15" s="123"/>
      <c r="AE15" s="33"/>
      <c r="AF15" s="123"/>
      <c r="AG15" s="243"/>
      <c r="AH15" s="33"/>
      <c r="AI15" s="245"/>
      <c r="AJ15" s="125"/>
      <c r="AK15" s="91"/>
      <c r="AL15" s="126"/>
      <c r="AM15" s="91"/>
      <c r="AN15" s="91"/>
      <c r="AO15" s="197">
        <f>AJ15-AK15-AL15-AM15-AN15</f>
        <v>0</v>
      </c>
      <c r="AP15" s="126"/>
      <c r="AQ15" s="217"/>
      <c r="AR15" s="200"/>
      <c r="AS15" s="263"/>
      <c r="AT15" s="94" t="s">
        <v>473</v>
      </c>
      <c r="AU15" s="84"/>
      <c r="AV15" s="80"/>
      <c r="AW15" s="81"/>
      <c r="AX15" s="77"/>
      <c r="AY15" s="107" t="s">
        <v>596</v>
      </c>
      <c r="AZ15" s="220">
        <f t="shared" ref="AZ15:AZ78" si="0">M15-B15</f>
        <v>0</v>
      </c>
      <c r="BA15" s="220">
        <f t="shared" ref="BA15:BA78" si="1">AU15-M15</f>
        <v>0</v>
      </c>
    </row>
    <row r="16" spans="1:53" ht="50.1" customHeight="1" x14ac:dyDescent="0.25">
      <c r="A16" s="17">
        <f t="shared" ref="A16:A79" si="2">ROW(A2)</f>
        <v>2</v>
      </c>
      <c r="B16" s="229"/>
      <c r="C16" s="222"/>
      <c r="D16" s="112"/>
      <c r="E16" s="128"/>
      <c r="F16" s="183"/>
      <c r="G16" s="130"/>
      <c r="H16" s="131"/>
      <c r="I16" s="132"/>
      <c r="J16" s="189"/>
      <c r="K16" s="133"/>
      <c r="L16" s="134"/>
      <c r="M16" s="334"/>
      <c r="N16" s="343"/>
      <c r="O16" s="192"/>
      <c r="P16" s="191"/>
      <c r="Q16" s="192"/>
      <c r="R16" s="191"/>
      <c r="S16" s="295" t="s">
        <v>459</v>
      </c>
      <c r="T16" s="301" t="s">
        <v>600</v>
      </c>
      <c r="U16" s="306"/>
      <c r="V16" s="308"/>
      <c r="W16" s="249" t="s">
        <v>472</v>
      </c>
      <c r="X16" s="369">
        <v>44022</v>
      </c>
      <c r="Y16" s="337"/>
      <c r="Z16" s="33"/>
      <c r="AA16" s="83"/>
      <c r="AB16" s="33"/>
      <c r="AC16" s="83"/>
      <c r="AD16" s="33"/>
      <c r="AE16" s="83"/>
      <c r="AF16" s="33"/>
      <c r="AG16" s="244"/>
      <c r="AH16" s="83"/>
      <c r="AI16" s="246"/>
      <c r="AJ16" s="102"/>
      <c r="AK16" s="92"/>
      <c r="AL16" s="91"/>
      <c r="AM16" s="92"/>
      <c r="AN16" s="351"/>
      <c r="AO16" s="197">
        <f t="shared" ref="AO16:AO79" si="3">AJ16-AK16-AL16-AM16-AN16</f>
        <v>0</v>
      </c>
      <c r="AP16" s="91"/>
      <c r="AQ16" s="217"/>
      <c r="AR16" s="103"/>
      <c r="AS16" s="264"/>
      <c r="AT16" s="94"/>
      <c r="AU16" s="84"/>
      <c r="AV16" s="136"/>
      <c r="AW16" s="81"/>
      <c r="AX16" s="137"/>
      <c r="AY16" s="138" t="s">
        <v>601</v>
      </c>
      <c r="AZ16" s="220">
        <f t="shared" si="0"/>
        <v>0</v>
      </c>
      <c r="BA16" s="220">
        <f t="shared" si="1"/>
        <v>0</v>
      </c>
    </row>
    <row r="17" spans="1:53" ht="50.1" customHeight="1" x14ac:dyDescent="0.25">
      <c r="A17" s="17">
        <f t="shared" si="2"/>
        <v>3</v>
      </c>
      <c r="B17" s="228"/>
      <c r="C17" s="221"/>
      <c r="D17" s="88"/>
      <c r="E17" s="100"/>
      <c r="F17" s="95"/>
      <c r="G17" s="114"/>
      <c r="H17" s="96"/>
      <c r="I17" s="97"/>
      <c r="J17" s="98"/>
      <c r="K17" s="101"/>
      <c r="L17" s="124"/>
      <c r="M17" s="333"/>
      <c r="N17" s="341"/>
      <c r="O17" s="190"/>
      <c r="P17" s="191"/>
      <c r="Q17" s="190"/>
      <c r="R17" s="191"/>
      <c r="S17" s="294"/>
      <c r="T17" s="300"/>
      <c r="U17" s="306"/>
      <c r="V17" s="308"/>
      <c r="W17" s="248"/>
      <c r="X17" s="342"/>
      <c r="Y17" s="336"/>
      <c r="Z17" s="123"/>
      <c r="AA17" s="33"/>
      <c r="AB17" s="123"/>
      <c r="AC17" s="33"/>
      <c r="AD17" s="123"/>
      <c r="AE17" s="33"/>
      <c r="AF17" s="123"/>
      <c r="AG17" s="243"/>
      <c r="AH17" s="33"/>
      <c r="AI17" s="245"/>
      <c r="AJ17" s="125"/>
      <c r="AK17" s="91"/>
      <c r="AL17" s="126"/>
      <c r="AM17" s="91"/>
      <c r="AN17" s="91"/>
      <c r="AO17" s="197">
        <f t="shared" si="3"/>
        <v>0</v>
      </c>
      <c r="AP17" s="126"/>
      <c r="AQ17" s="217"/>
      <c r="AR17" s="200"/>
      <c r="AS17" s="263"/>
      <c r="AT17" s="94"/>
      <c r="AU17" s="84"/>
      <c r="AV17" s="80"/>
      <c r="AW17" s="81"/>
      <c r="AX17" s="77"/>
      <c r="AY17" s="107" t="s">
        <v>605</v>
      </c>
      <c r="AZ17" s="220">
        <f t="shared" si="0"/>
        <v>0</v>
      </c>
      <c r="BA17" s="220">
        <f t="shared" si="1"/>
        <v>0</v>
      </c>
    </row>
    <row r="18" spans="1:53" ht="50.1" customHeight="1" x14ac:dyDescent="0.25">
      <c r="A18" s="17">
        <f t="shared" si="2"/>
        <v>4</v>
      </c>
      <c r="B18" s="229"/>
      <c r="C18" s="222"/>
      <c r="D18" s="112"/>
      <c r="E18" s="128"/>
      <c r="F18" s="183"/>
      <c r="G18" s="289"/>
      <c r="H18" s="131"/>
      <c r="I18" s="132"/>
      <c r="J18" s="189"/>
      <c r="K18" s="133"/>
      <c r="L18" s="134"/>
      <c r="M18" s="334"/>
      <c r="N18" s="343"/>
      <c r="O18" s="192"/>
      <c r="P18" s="191"/>
      <c r="Q18" s="192"/>
      <c r="R18" s="191"/>
      <c r="S18" s="295"/>
      <c r="T18" s="301"/>
      <c r="U18" s="306"/>
      <c r="V18" s="308"/>
      <c r="W18" s="249"/>
      <c r="X18" s="344"/>
      <c r="Y18" s="337"/>
      <c r="Z18" s="33"/>
      <c r="AA18" s="83"/>
      <c r="AB18" s="33"/>
      <c r="AC18" s="83"/>
      <c r="AD18" s="33"/>
      <c r="AE18" s="83"/>
      <c r="AF18" s="33"/>
      <c r="AG18" s="244"/>
      <c r="AH18" s="83"/>
      <c r="AI18" s="246"/>
      <c r="AJ18" s="102"/>
      <c r="AK18" s="92"/>
      <c r="AL18" s="91"/>
      <c r="AM18" s="92"/>
      <c r="AN18" s="351"/>
      <c r="AO18" s="197">
        <f t="shared" si="3"/>
        <v>0</v>
      </c>
      <c r="AP18" s="91"/>
      <c r="AQ18" s="217"/>
      <c r="AR18" s="103"/>
      <c r="AS18" s="264"/>
      <c r="AT18" s="94"/>
      <c r="AU18" s="84"/>
      <c r="AV18" s="136"/>
      <c r="AW18" s="81"/>
      <c r="AX18" s="137"/>
      <c r="AY18" s="138"/>
      <c r="AZ18" s="220">
        <f t="shared" si="0"/>
        <v>0</v>
      </c>
      <c r="BA18" s="220">
        <f t="shared" si="1"/>
        <v>0</v>
      </c>
    </row>
    <row r="19" spans="1:53" ht="50.1" customHeight="1" x14ac:dyDescent="0.25">
      <c r="A19" s="17">
        <f t="shared" si="2"/>
        <v>5</v>
      </c>
      <c r="B19" s="228"/>
      <c r="C19" s="221"/>
      <c r="D19" s="88"/>
      <c r="E19" s="100"/>
      <c r="F19" s="95"/>
      <c r="G19" s="114"/>
      <c r="H19" s="96"/>
      <c r="I19" s="97"/>
      <c r="J19" s="98"/>
      <c r="K19" s="101"/>
      <c r="L19" s="124"/>
      <c r="M19" s="333"/>
      <c r="N19" s="341">
        <v>44020</v>
      </c>
      <c r="O19" s="190"/>
      <c r="P19" s="191"/>
      <c r="Q19" s="190" t="s">
        <v>459</v>
      </c>
      <c r="R19" s="191"/>
      <c r="S19" s="294" t="s">
        <v>459</v>
      </c>
      <c r="T19" s="300" t="s">
        <v>611</v>
      </c>
      <c r="U19" s="306" t="s">
        <v>459</v>
      </c>
      <c r="V19" s="308" t="s">
        <v>612</v>
      </c>
      <c r="W19" s="248"/>
      <c r="X19" s="342"/>
      <c r="Y19" s="336"/>
      <c r="Z19" s="123"/>
      <c r="AA19" s="33"/>
      <c r="AB19" s="123"/>
      <c r="AC19" s="33"/>
      <c r="AD19" s="123"/>
      <c r="AE19" s="33"/>
      <c r="AF19" s="123"/>
      <c r="AG19" s="243"/>
      <c r="AH19" s="33"/>
      <c r="AI19" s="245"/>
      <c r="AJ19" s="125"/>
      <c r="AK19" s="91"/>
      <c r="AL19" s="126"/>
      <c r="AM19" s="91"/>
      <c r="AN19" s="91"/>
      <c r="AO19" s="197">
        <f t="shared" si="3"/>
        <v>0</v>
      </c>
      <c r="AP19" s="126"/>
      <c r="AQ19" s="217"/>
      <c r="AR19" s="200"/>
      <c r="AS19" s="263"/>
      <c r="AT19" s="94"/>
      <c r="AU19" s="84"/>
      <c r="AV19" s="80"/>
      <c r="AW19" s="81"/>
      <c r="AX19" s="77"/>
      <c r="AY19" s="107"/>
      <c r="AZ19" s="220">
        <f t="shared" si="0"/>
        <v>0</v>
      </c>
      <c r="BA19" s="220">
        <f t="shared" si="1"/>
        <v>0</v>
      </c>
    </row>
    <row r="20" spans="1:53" ht="50.1" customHeight="1" x14ac:dyDescent="0.25">
      <c r="A20" s="17">
        <f t="shared" si="2"/>
        <v>6</v>
      </c>
      <c r="B20" s="229"/>
      <c r="C20" s="222"/>
      <c r="D20" s="112"/>
      <c r="E20" s="128"/>
      <c r="F20" s="183"/>
      <c r="G20" s="130"/>
      <c r="H20" s="131"/>
      <c r="I20" s="132"/>
      <c r="J20" s="189"/>
      <c r="K20" s="133"/>
      <c r="L20" s="134"/>
      <c r="M20" s="334"/>
      <c r="N20" s="343"/>
      <c r="O20" s="192"/>
      <c r="P20" s="191"/>
      <c r="Q20" s="192"/>
      <c r="R20" s="191"/>
      <c r="S20" s="295"/>
      <c r="T20" s="301"/>
      <c r="U20" s="306"/>
      <c r="V20" s="308"/>
      <c r="W20" s="249"/>
      <c r="X20" s="344"/>
      <c r="Y20" s="337"/>
      <c r="Z20" s="33"/>
      <c r="AA20" s="83"/>
      <c r="AB20" s="33"/>
      <c r="AC20" s="83"/>
      <c r="AD20" s="33"/>
      <c r="AE20" s="83"/>
      <c r="AF20" s="33"/>
      <c r="AG20" s="244"/>
      <c r="AH20" s="83"/>
      <c r="AI20" s="246"/>
      <c r="AJ20" s="102"/>
      <c r="AK20" s="92"/>
      <c r="AL20" s="91"/>
      <c r="AM20" s="92"/>
      <c r="AN20" s="351"/>
      <c r="AO20" s="197">
        <f t="shared" si="3"/>
        <v>0</v>
      </c>
      <c r="AP20" s="91"/>
      <c r="AQ20" s="217"/>
      <c r="AR20" s="103"/>
      <c r="AS20" s="264"/>
      <c r="AT20" s="94"/>
      <c r="AU20" s="84"/>
      <c r="AV20" s="136"/>
      <c r="AW20" s="81"/>
      <c r="AX20" s="137"/>
      <c r="AY20" s="138"/>
      <c r="AZ20" s="220">
        <f t="shared" si="0"/>
        <v>0</v>
      </c>
      <c r="BA20" s="220">
        <f t="shared" si="1"/>
        <v>0</v>
      </c>
    </row>
    <row r="21" spans="1:53" ht="50.1" customHeight="1" x14ac:dyDescent="0.25">
      <c r="A21" s="17">
        <f t="shared" si="2"/>
        <v>7</v>
      </c>
      <c r="B21" s="228"/>
      <c r="C21" s="221"/>
      <c r="D21" s="88"/>
      <c r="E21" s="100"/>
      <c r="F21" s="95"/>
      <c r="G21" s="114"/>
      <c r="H21" s="96"/>
      <c r="I21" s="97"/>
      <c r="J21" s="98"/>
      <c r="K21" s="101"/>
      <c r="L21" s="124"/>
      <c r="M21" s="333"/>
      <c r="N21" s="341"/>
      <c r="O21" s="190"/>
      <c r="P21" s="191"/>
      <c r="Q21" s="190"/>
      <c r="R21" s="191"/>
      <c r="S21" s="294"/>
      <c r="T21" s="300"/>
      <c r="U21" s="306"/>
      <c r="V21" s="308"/>
      <c r="W21" s="248"/>
      <c r="X21" s="342"/>
      <c r="Y21" s="336"/>
      <c r="Z21" s="123"/>
      <c r="AA21" s="33"/>
      <c r="AB21" s="123"/>
      <c r="AC21" s="33"/>
      <c r="AD21" s="123"/>
      <c r="AE21" s="33"/>
      <c r="AF21" s="123"/>
      <c r="AG21" s="243"/>
      <c r="AH21" s="33"/>
      <c r="AI21" s="245"/>
      <c r="AJ21" s="125"/>
      <c r="AK21" s="91"/>
      <c r="AL21" s="126"/>
      <c r="AM21" s="91"/>
      <c r="AN21" s="91"/>
      <c r="AO21" s="197">
        <f t="shared" si="3"/>
        <v>0</v>
      </c>
      <c r="AP21" s="126"/>
      <c r="AQ21" s="217"/>
      <c r="AR21" s="200"/>
      <c r="AS21" s="263"/>
      <c r="AT21" s="94"/>
      <c r="AU21" s="84"/>
      <c r="AV21" s="80"/>
      <c r="AW21" s="81"/>
      <c r="AX21" s="77"/>
      <c r="AY21" s="107"/>
      <c r="AZ21" s="220">
        <f t="shared" si="0"/>
        <v>0</v>
      </c>
      <c r="BA21" s="220">
        <f t="shared" si="1"/>
        <v>0</v>
      </c>
    </row>
    <row r="22" spans="1:53" ht="50.1" customHeight="1" x14ac:dyDescent="0.25">
      <c r="A22" s="17">
        <f t="shared" si="2"/>
        <v>8</v>
      </c>
      <c r="B22" s="229"/>
      <c r="C22" s="222"/>
      <c r="D22" s="112"/>
      <c r="E22" s="128"/>
      <c r="F22" s="183"/>
      <c r="G22" s="130"/>
      <c r="H22" s="131"/>
      <c r="I22" s="132"/>
      <c r="J22" s="189"/>
      <c r="K22" s="133"/>
      <c r="L22" s="134"/>
      <c r="M22" s="334"/>
      <c r="N22" s="343"/>
      <c r="O22" s="192"/>
      <c r="P22" s="191"/>
      <c r="Q22" s="192"/>
      <c r="R22" s="191"/>
      <c r="S22" s="295"/>
      <c r="T22" s="301"/>
      <c r="U22" s="306"/>
      <c r="V22" s="308"/>
      <c r="W22" s="249"/>
      <c r="X22" s="344"/>
      <c r="Y22" s="337"/>
      <c r="Z22" s="33"/>
      <c r="AA22" s="83"/>
      <c r="AB22" s="33"/>
      <c r="AC22" s="83"/>
      <c r="AD22" s="33"/>
      <c r="AE22" s="83"/>
      <c r="AF22" s="33"/>
      <c r="AG22" s="244"/>
      <c r="AH22" s="83"/>
      <c r="AI22" s="246"/>
      <c r="AJ22" s="102"/>
      <c r="AK22" s="92"/>
      <c r="AL22" s="91"/>
      <c r="AM22" s="92"/>
      <c r="AN22" s="351"/>
      <c r="AO22" s="197">
        <f t="shared" si="3"/>
        <v>0</v>
      </c>
      <c r="AP22" s="91"/>
      <c r="AQ22" s="217"/>
      <c r="AR22" s="103"/>
      <c r="AS22" s="264"/>
      <c r="AT22" s="94"/>
      <c r="AU22" s="84"/>
      <c r="AV22" s="136"/>
      <c r="AW22" s="81"/>
      <c r="AX22" s="137"/>
      <c r="AY22" s="138"/>
      <c r="AZ22" s="220">
        <f t="shared" si="0"/>
        <v>0</v>
      </c>
      <c r="BA22" s="220">
        <f t="shared" si="1"/>
        <v>0</v>
      </c>
    </row>
    <row r="23" spans="1:53" ht="50.1" customHeight="1" x14ac:dyDescent="0.25">
      <c r="A23" s="17">
        <f t="shared" si="2"/>
        <v>9</v>
      </c>
      <c r="B23" s="228"/>
      <c r="C23" s="221"/>
      <c r="D23" s="88"/>
      <c r="E23" s="100"/>
      <c r="F23" s="95"/>
      <c r="G23" s="114"/>
      <c r="H23" s="96"/>
      <c r="I23" s="97"/>
      <c r="J23" s="98"/>
      <c r="K23" s="101"/>
      <c r="L23" s="124"/>
      <c r="M23" s="333"/>
      <c r="N23" s="341"/>
      <c r="O23" s="190"/>
      <c r="P23" s="191"/>
      <c r="Q23" s="190"/>
      <c r="R23" s="191"/>
      <c r="S23" s="294"/>
      <c r="T23" s="300"/>
      <c r="U23" s="306"/>
      <c r="V23" s="308"/>
      <c r="W23" s="248"/>
      <c r="X23" s="342"/>
      <c r="Y23" s="336"/>
      <c r="Z23" s="123"/>
      <c r="AA23" s="33"/>
      <c r="AB23" s="123"/>
      <c r="AC23" s="33"/>
      <c r="AD23" s="123"/>
      <c r="AE23" s="33"/>
      <c r="AF23" s="123"/>
      <c r="AG23" s="243"/>
      <c r="AH23" s="33"/>
      <c r="AI23" s="245"/>
      <c r="AJ23" s="125"/>
      <c r="AK23" s="91"/>
      <c r="AL23" s="126"/>
      <c r="AM23" s="91"/>
      <c r="AN23" s="91"/>
      <c r="AO23" s="197">
        <f t="shared" si="3"/>
        <v>0</v>
      </c>
      <c r="AP23" s="126"/>
      <c r="AQ23" s="217"/>
      <c r="AR23" s="200"/>
      <c r="AS23" s="263"/>
      <c r="AT23" s="94"/>
      <c r="AU23" s="84"/>
      <c r="AV23" s="80"/>
      <c r="AW23" s="81"/>
      <c r="AX23" s="77"/>
      <c r="AY23" s="107"/>
      <c r="AZ23" s="220">
        <f t="shared" si="0"/>
        <v>0</v>
      </c>
      <c r="BA23" s="220">
        <f t="shared" si="1"/>
        <v>0</v>
      </c>
    </row>
    <row r="24" spans="1:53" ht="50.1" customHeight="1" x14ac:dyDescent="0.25">
      <c r="A24" s="17">
        <f t="shared" si="2"/>
        <v>10</v>
      </c>
      <c r="B24" s="229"/>
      <c r="C24" s="222"/>
      <c r="D24" s="112"/>
      <c r="E24" s="128"/>
      <c r="F24" s="183"/>
      <c r="G24" s="130"/>
      <c r="H24" s="131"/>
      <c r="I24" s="132"/>
      <c r="J24" s="189"/>
      <c r="K24" s="133"/>
      <c r="L24" s="134"/>
      <c r="M24" s="334"/>
      <c r="N24" s="343">
        <v>44035</v>
      </c>
      <c r="O24" s="192"/>
      <c r="P24" s="191"/>
      <c r="Q24" s="192"/>
      <c r="R24" s="191" t="s">
        <v>472</v>
      </c>
      <c r="S24" s="295" t="s">
        <v>472</v>
      </c>
      <c r="T24" s="301" t="s">
        <v>626</v>
      </c>
      <c r="U24" s="306" t="s">
        <v>459</v>
      </c>
      <c r="V24" s="308" t="s">
        <v>627</v>
      </c>
      <c r="W24" s="249"/>
      <c r="X24" s="344"/>
      <c r="Y24" s="337"/>
      <c r="Z24" s="33"/>
      <c r="AA24" s="83"/>
      <c r="AB24" s="33"/>
      <c r="AC24" s="83"/>
      <c r="AD24" s="33"/>
      <c r="AE24" s="83"/>
      <c r="AF24" s="33"/>
      <c r="AG24" s="244"/>
      <c r="AH24" s="83"/>
      <c r="AI24" s="246"/>
      <c r="AJ24" s="102"/>
      <c r="AK24" s="92"/>
      <c r="AL24" s="91"/>
      <c r="AM24" s="92"/>
      <c r="AN24" s="351"/>
      <c r="AO24" s="197">
        <f t="shared" si="3"/>
        <v>0</v>
      </c>
      <c r="AP24" s="91"/>
      <c r="AQ24" s="217"/>
      <c r="AR24" s="103"/>
      <c r="AS24" s="264"/>
      <c r="AT24" s="94"/>
      <c r="AU24" s="84"/>
      <c r="AV24" s="136"/>
      <c r="AW24" s="81"/>
      <c r="AX24" s="137"/>
      <c r="AY24" s="138"/>
      <c r="AZ24" s="220">
        <f t="shared" si="0"/>
        <v>0</v>
      </c>
      <c r="BA24" s="220">
        <f t="shared" si="1"/>
        <v>0</v>
      </c>
    </row>
    <row r="25" spans="1:53" ht="50.1" customHeight="1" x14ac:dyDescent="0.25">
      <c r="A25" s="17">
        <f t="shared" si="2"/>
        <v>11</v>
      </c>
      <c r="B25" s="228"/>
      <c r="C25" s="221"/>
      <c r="D25" s="88"/>
      <c r="E25" s="100"/>
      <c r="F25" s="95"/>
      <c r="G25" s="114"/>
      <c r="H25" s="96"/>
      <c r="I25" s="97"/>
      <c r="J25" s="98"/>
      <c r="K25" s="101"/>
      <c r="L25" s="124"/>
      <c r="M25" s="333"/>
      <c r="N25" s="341">
        <v>44033</v>
      </c>
      <c r="O25" s="190"/>
      <c r="P25" s="191" t="s">
        <v>472</v>
      </c>
      <c r="Q25" s="190"/>
      <c r="R25" s="191"/>
      <c r="S25" s="294" t="s">
        <v>459</v>
      </c>
      <c r="T25" s="300" t="s">
        <v>631</v>
      </c>
      <c r="U25" s="306" t="s">
        <v>459</v>
      </c>
      <c r="V25" s="308" t="s">
        <v>632</v>
      </c>
      <c r="W25" s="248"/>
      <c r="X25" s="342"/>
      <c r="Y25" s="336"/>
      <c r="Z25" s="123"/>
      <c r="AA25" s="33"/>
      <c r="AB25" s="123"/>
      <c r="AC25" s="33"/>
      <c r="AD25" s="123"/>
      <c r="AE25" s="33"/>
      <c r="AF25" s="123"/>
      <c r="AG25" s="243"/>
      <c r="AH25" s="33"/>
      <c r="AI25" s="245"/>
      <c r="AJ25" s="125"/>
      <c r="AK25" s="91"/>
      <c r="AL25" s="126"/>
      <c r="AM25" s="91"/>
      <c r="AN25" s="91"/>
      <c r="AO25" s="197">
        <f t="shared" si="3"/>
        <v>0</v>
      </c>
      <c r="AP25" s="126"/>
      <c r="AQ25" s="217"/>
      <c r="AR25" s="200"/>
      <c r="AS25" s="263"/>
      <c r="AT25" s="94"/>
      <c r="AU25" s="84"/>
      <c r="AV25" s="80"/>
      <c r="AW25" s="81"/>
      <c r="AX25" s="77"/>
      <c r="AY25" s="107"/>
      <c r="AZ25" s="220">
        <f t="shared" si="0"/>
        <v>0</v>
      </c>
      <c r="BA25" s="220">
        <f t="shared" si="1"/>
        <v>0</v>
      </c>
    </row>
    <row r="26" spans="1:53" ht="50.1" customHeight="1" x14ac:dyDescent="0.25">
      <c r="A26" s="17">
        <f t="shared" si="2"/>
        <v>12</v>
      </c>
      <c r="B26" s="229"/>
      <c r="C26" s="222"/>
      <c r="D26" s="112"/>
      <c r="E26" s="128"/>
      <c r="F26" s="183"/>
      <c r="G26" s="130"/>
      <c r="H26" s="131"/>
      <c r="I26" s="132"/>
      <c r="J26" s="189"/>
      <c r="K26" s="133"/>
      <c r="L26" s="134"/>
      <c r="M26" s="334"/>
      <c r="N26" s="343"/>
      <c r="O26" s="192"/>
      <c r="P26" s="191"/>
      <c r="Q26" s="192"/>
      <c r="R26" s="191"/>
      <c r="S26" s="295"/>
      <c r="T26" s="301"/>
      <c r="U26" s="306"/>
      <c r="V26" s="308"/>
      <c r="W26" s="249"/>
      <c r="X26" s="344"/>
      <c r="Y26" s="337"/>
      <c r="Z26" s="33"/>
      <c r="AA26" s="83"/>
      <c r="AB26" s="33"/>
      <c r="AC26" s="83"/>
      <c r="AD26" s="33"/>
      <c r="AE26" s="83"/>
      <c r="AF26" s="33"/>
      <c r="AG26" s="244"/>
      <c r="AH26" s="83"/>
      <c r="AI26" s="246"/>
      <c r="AJ26" s="102"/>
      <c r="AK26" s="92"/>
      <c r="AL26" s="91"/>
      <c r="AM26" s="92"/>
      <c r="AN26" s="351"/>
      <c r="AO26" s="197">
        <f t="shared" si="3"/>
        <v>0</v>
      </c>
      <c r="AP26" s="91"/>
      <c r="AQ26" s="217"/>
      <c r="AR26" s="103"/>
      <c r="AS26" s="264"/>
      <c r="AT26" s="94"/>
      <c r="AU26" s="84"/>
      <c r="AV26" s="136"/>
      <c r="AW26" s="81"/>
      <c r="AX26" s="137"/>
      <c r="AY26" s="138"/>
      <c r="AZ26" s="220">
        <f t="shared" si="0"/>
        <v>0</v>
      </c>
      <c r="BA26" s="220">
        <f t="shared" si="1"/>
        <v>0</v>
      </c>
    </row>
    <row r="27" spans="1:53" ht="50.1" customHeight="1" x14ac:dyDescent="0.25">
      <c r="A27" s="17">
        <f t="shared" si="2"/>
        <v>13</v>
      </c>
      <c r="B27" s="228"/>
      <c r="C27" s="221"/>
      <c r="D27" s="88"/>
      <c r="E27" s="100"/>
      <c r="F27" s="95"/>
      <c r="G27" s="114"/>
      <c r="H27" s="96"/>
      <c r="I27" s="97"/>
      <c r="J27" s="98"/>
      <c r="K27" s="101"/>
      <c r="L27" s="124"/>
      <c r="M27" s="333"/>
      <c r="N27" s="341">
        <v>44039</v>
      </c>
      <c r="O27" s="190"/>
      <c r="P27" s="191" t="s">
        <v>472</v>
      </c>
      <c r="Q27" s="190"/>
      <c r="R27" s="191"/>
      <c r="S27" s="294"/>
      <c r="T27" s="300"/>
      <c r="U27" s="306"/>
      <c r="V27" s="308"/>
      <c r="W27" s="248"/>
      <c r="X27" s="342"/>
      <c r="Y27" s="336"/>
      <c r="Z27" s="123"/>
      <c r="AA27" s="33"/>
      <c r="AB27" s="123"/>
      <c r="AC27" s="33"/>
      <c r="AD27" s="123"/>
      <c r="AE27" s="33"/>
      <c r="AF27" s="123"/>
      <c r="AG27" s="243"/>
      <c r="AH27" s="33"/>
      <c r="AI27" s="245"/>
      <c r="AJ27" s="125"/>
      <c r="AK27" s="91"/>
      <c r="AL27" s="126"/>
      <c r="AM27" s="91"/>
      <c r="AN27" s="91"/>
      <c r="AO27" s="197">
        <f t="shared" si="3"/>
        <v>0</v>
      </c>
      <c r="AP27" s="126"/>
      <c r="AQ27" s="217"/>
      <c r="AR27" s="200"/>
      <c r="AS27" s="263"/>
      <c r="AT27" s="94"/>
      <c r="AU27" s="84"/>
      <c r="AV27" s="80"/>
      <c r="AW27" s="81"/>
      <c r="AX27" s="77"/>
      <c r="AY27" s="107"/>
      <c r="AZ27" s="220">
        <f t="shared" si="0"/>
        <v>0</v>
      </c>
      <c r="BA27" s="220">
        <f t="shared" si="1"/>
        <v>0</v>
      </c>
    </row>
    <row r="28" spans="1:53" ht="50.1" customHeight="1" x14ac:dyDescent="0.25">
      <c r="A28" s="17">
        <f t="shared" si="2"/>
        <v>14</v>
      </c>
      <c r="B28" s="229"/>
      <c r="C28" s="222"/>
      <c r="D28" s="112"/>
      <c r="E28" s="128"/>
      <c r="F28" s="183"/>
      <c r="G28" s="130"/>
      <c r="H28" s="131"/>
      <c r="I28" s="132"/>
      <c r="J28" s="189"/>
      <c r="K28" s="133"/>
      <c r="L28" s="134"/>
      <c r="M28" s="334"/>
      <c r="N28" s="343">
        <v>44034</v>
      </c>
      <c r="O28" s="192"/>
      <c r="P28" s="191"/>
      <c r="Q28" s="192"/>
      <c r="R28" s="191"/>
      <c r="S28" s="295" t="s">
        <v>472</v>
      </c>
      <c r="T28" s="301" t="s">
        <v>640</v>
      </c>
      <c r="U28" s="306" t="s">
        <v>472</v>
      </c>
      <c r="V28" s="308" t="s">
        <v>641</v>
      </c>
      <c r="W28" s="249"/>
      <c r="X28" s="344"/>
      <c r="Y28" s="337"/>
      <c r="Z28" s="33"/>
      <c r="AA28" s="83"/>
      <c r="AB28" s="33"/>
      <c r="AC28" s="83"/>
      <c r="AD28" s="33"/>
      <c r="AE28" s="83"/>
      <c r="AF28" s="33"/>
      <c r="AG28" s="244"/>
      <c r="AH28" s="83"/>
      <c r="AI28" s="246"/>
      <c r="AJ28" s="102"/>
      <c r="AK28" s="92"/>
      <c r="AL28" s="91"/>
      <c r="AM28" s="92"/>
      <c r="AN28" s="351"/>
      <c r="AO28" s="197">
        <f t="shared" si="3"/>
        <v>0</v>
      </c>
      <c r="AP28" s="91"/>
      <c r="AQ28" s="217"/>
      <c r="AR28" s="103"/>
      <c r="AS28" s="264"/>
      <c r="AT28" s="94"/>
      <c r="AU28" s="84"/>
      <c r="AV28" s="136"/>
      <c r="AW28" s="81"/>
      <c r="AX28" s="137"/>
      <c r="AY28" s="138"/>
      <c r="AZ28" s="220">
        <f t="shared" si="0"/>
        <v>0</v>
      </c>
      <c r="BA28" s="220">
        <f t="shared" si="1"/>
        <v>0</v>
      </c>
    </row>
    <row r="29" spans="1:53" ht="50.1" customHeight="1" x14ac:dyDescent="0.25">
      <c r="A29" s="17">
        <f t="shared" si="2"/>
        <v>15</v>
      </c>
      <c r="B29" s="228"/>
      <c r="C29" s="221"/>
      <c r="D29" s="88"/>
      <c r="E29" s="100"/>
      <c r="F29" s="95"/>
      <c r="G29" s="114"/>
      <c r="H29" s="96"/>
      <c r="I29" s="97"/>
      <c r="J29" s="98"/>
      <c r="K29" s="101"/>
      <c r="L29" s="124"/>
      <c r="M29" s="333"/>
      <c r="N29" s="341">
        <v>44022</v>
      </c>
      <c r="O29" s="190"/>
      <c r="P29" s="191"/>
      <c r="Q29" s="190"/>
      <c r="R29" s="191"/>
      <c r="S29" s="294" t="s">
        <v>472</v>
      </c>
      <c r="T29" s="300" t="s">
        <v>645</v>
      </c>
      <c r="U29" s="306" t="s">
        <v>459</v>
      </c>
      <c r="V29" s="308" t="s">
        <v>646</v>
      </c>
      <c r="W29" s="248"/>
      <c r="X29" s="342"/>
      <c r="Y29" s="336"/>
      <c r="Z29" s="123"/>
      <c r="AA29" s="33"/>
      <c r="AB29" s="123"/>
      <c r="AC29" s="33"/>
      <c r="AD29" s="123"/>
      <c r="AE29" s="33"/>
      <c r="AF29" s="123"/>
      <c r="AG29" s="243"/>
      <c r="AH29" s="33"/>
      <c r="AI29" s="245"/>
      <c r="AJ29" s="125"/>
      <c r="AK29" s="91"/>
      <c r="AL29" s="126"/>
      <c r="AM29" s="91"/>
      <c r="AN29" s="91"/>
      <c r="AO29" s="197">
        <f t="shared" si="3"/>
        <v>0</v>
      </c>
      <c r="AP29" s="126"/>
      <c r="AQ29" s="217"/>
      <c r="AR29" s="200"/>
      <c r="AS29" s="263"/>
      <c r="AT29" s="94"/>
      <c r="AU29" s="84"/>
      <c r="AV29" s="80"/>
      <c r="AW29" s="81"/>
      <c r="AX29" s="77"/>
      <c r="AY29" s="107"/>
      <c r="AZ29" s="220">
        <f t="shared" si="0"/>
        <v>0</v>
      </c>
      <c r="BA29" s="220">
        <f t="shared" si="1"/>
        <v>0</v>
      </c>
    </row>
    <row r="30" spans="1:53" ht="50.1" customHeight="1" x14ac:dyDescent="0.25">
      <c r="A30" s="17">
        <f t="shared" si="2"/>
        <v>16</v>
      </c>
      <c r="B30" s="229"/>
      <c r="C30" s="222"/>
      <c r="D30" s="112"/>
      <c r="E30" s="128"/>
      <c r="F30" s="183"/>
      <c r="G30" s="130"/>
      <c r="H30" s="131"/>
      <c r="I30" s="132"/>
      <c r="J30" s="189"/>
      <c r="K30" s="133"/>
      <c r="L30" s="134"/>
      <c r="M30" s="334"/>
      <c r="N30" s="343">
        <v>44033</v>
      </c>
      <c r="O30" s="192"/>
      <c r="P30" s="191"/>
      <c r="Q30" s="192"/>
      <c r="R30" s="191"/>
      <c r="S30" s="295"/>
      <c r="T30" s="301"/>
      <c r="U30" s="306"/>
      <c r="V30" s="308"/>
      <c r="W30" s="249"/>
      <c r="X30" s="344"/>
      <c r="Y30" s="337"/>
      <c r="Z30" s="33"/>
      <c r="AA30" s="83"/>
      <c r="AB30" s="33"/>
      <c r="AC30" s="83"/>
      <c r="AD30" s="33"/>
      <c r="AE30" s="83"/>
      <c r="AF30" s="33"/>
      <c r="AG30" s="244"/>
      <c r="AH30" s="83"/>
      <c r="AI30" s="246"/>
      <c r="AJ30" s="195"/>
      <c r="AK30" s="92"/>
      <c r="AL30" s="91"/>
      <c r="AM30" s="92"/>
      <c r="AN30" s="351"/>
      <c r="AO30" s="197">
        <f t="shared" si="3"/>
        <v>0</v>
      </c>
      <c r="AP30" s="91"/>
      <c r="AQ30" s="217"/>
      <c r="AR30" s="196"/>
      <c r="AS30" s="265"/>
      <c r="AT30" s="94"/>
      <c r="AU30" s="84"/>
      <c r="AV30" s="136"/>
      <c r="AW30" s="81"/>
      <c r="AX30" s="137"/>
      <c r="AY30" s="138"/>
      <c r="AZ30" s="220">
        <f t="shared" si="0"/>
        <v>0</v>
      </c>
      <c r="BA30" s="220">
        <f t="shared" si="1"/>
        <v>0</v>
      </c>
    </row>
    <row r="31" spans="1:53" ht="50.1" customHeight="1" x14ac:dyDescent="0.25">
      <c r="A31" s="17">
        <f t="shared" si="2"/>
        <v>17</v>
      </c>
      <c r="B31" s="228"/>
      <c r="C31" s="221"/>
      <c r="D31" s="88"/>
      <c r="E31" s="100"/>
      <c r="F31" s="95"/>
      <c r="G31" s="114"/>
      <c r="H31" s="96"/>
      <c r="I31" s="97"/>
      <c r="J31" s="98"/>
      <c r="K31" s="101"/>
      <c r="L31" s="124"/>
      <c r="M31" s="333"/>
      <c r="N31" s="341"/>
      <c r="O31" s="190"/>
      <c r="P31" s="191"/>
      <c r="Q31" s="190"/>
      <c r="R31" s="191"/>
      <c r="S31" s="294"/>
      <c r="T31" s="300"/>
      <c r="U31" s="306"/>
      <c r="V31" s="308"/>
      <c r="W31" s="248"/>
      <c r="X31" s="342"/>
      <c r="Y31" s="336"/>
      <c r="Z31" s="123"/>
      <c r="AA31" s="33"/>
      <c r="AB31" s="123"/>
      <c r="AC31" s="33"/>
      <c r="AD31" s="123"/>
      <c r="AE31" s="33"/>
      <c r="AF31" s="123"/>
      <c r="AG31" s="243"/>
      <c r="AH31" s="33"/>
      <c r="AI31" s="245"/>
      <c r="AJ31" s="125"/>
      <c r="AK31" s="91"/>
      <c r="AL31" s="126"/>
      <c r="AM31" s="91"/>
      <c r="AN31" s="91"/>
      <c r="AO31" s="197">
        <f t="shared" si="3"/>
        <v>0</v>
      </c>
      <c r="AP31" s="126"/>
      <c r="AQ31" s="217"/>
      <c r="AR31" s="201"/>
      <c r="AS31" s="266"/>
      <c r="AT31" s="94"/>
      <c r="AU31" s="84"/>
      <c r="AV31" s="80"/>
      <c r="AW31" s="81"/>
      <c r="AX31" s="77"/>
      <c r="AY31" s="107"/>
      <c r="AZ31" s="220">
        <f t="shared" si="0"/>
        <v>0</v>
      </c>
      <c r="BA31" s="220">
        <f t="shared" si="1"/>
        <v>0</v>
      </c>
    </row>
    <row r="32" spans="1:53" ht="50.1" customHeight="1" x14ac:dyDescent="0.25">
      <c r="A32" s="17">
        <f t="shared" si="2"/>
        <v>18</v>
      </c>
      <c r="B32" s="229"/>
      <c r="C32" s="222"/>
      <c r="D32" s="112"/>
      <c r="E32" s="128"/>
      <c r="F32" s="183"/>
      <c r="G32" s="130"/>
      <c r="H32" s="131"/>
      <c r="I32" s="132"/>
      <c r="J32" s="189"/>
      <c r="K32" s="133"/>
      <c r="L32" s="134"/>
      <c r="M32" s="334"/>
      <c r="N32" s="343"/>
      <c r="O32" s="192"/>
      <c r="P32" s="191"/>
      <c r="Q32" s="192"/>
      <c r="R32" s="191"/>
      <c r="S32" s="295"/>
      <c r="T32" s="301"/>
      <c r="U32" s="306"/>
      <c r="V32" s="308"/>
      <c r="W32" s="249"/>
      <c r="X32" s="344"/>
      <c r="Y32" s="337"/>
      <c r="Z32" s="33"/>
      <c r="AA32" s="83"/>
      <c r="AB32" s="33"/>
      <c r="AC32" s="83"/>
      <c r="AD32" s="33"/>
      <c r="AE32" s="83"/>
      <c r="AF32" s="33"/>
      <c r="AG32" s="244"/>
      <c r="AH32" s="83"/>
      <c r="AI32" s="246"/>
      <c r="AJ32" s="102"/>
      <c r="AK32" s="92"/>
      <c r="AL32" s="91"/>
      <c r="AM32" s="92"/>
      <c r="AN32" s="351"/>
      <c r="AO32" s="197">
        <f t="shared" si="3"/>
        <v>0</v>
      </c>
      <c r="AP32" s="91"/>
      <c r="AQ32" s="217"/>
      <c r="AR32" s="196"/>
      <c r="AS32" s="265"/>
      <c r="AT32" s="94"/>
      <c r="AU32" s="84"/>
      <c r="AV32" s="136"/>
      <c r="AW32" s="81"/>
      <c r="AX32" s="137"/>
      <c r="AY32" s="138"/>
      <c r="AZ32" s="220">
        <f t="shared" si="0"/>
        <v>0</v>
      </c>
      <c r="BA32" s="220">
        <f t="shared" si="1"/>
        <v>0</v>
      </c>
    </row>
    <row r="33" spans="1:53" ht="50.1" customHeight="1" x14ac:dyDescent="0.25">
      <c r="A33" s="17">
        <f t="shared" si="2"/>
        <v>19</v>
      </c>
      <c r="B33" s="228"/>
      <c r="C33" s="221"/>
      <c r="D33" s="88"/>
      <c r="E33" s="100"/>
      <c r="F33" s="95"/>
      <c r="G33" s="114"/>
      <c r="H33" s="96"/>
      <c r="I33" s="97"/>
      <c r="J33" s="98"/>
      <c r="K33" s="101"/>
      <c r="L33" s="124"/>
      <c r="M33" s="333"/>
      <c r="N33" s="341">
        <v>44035</v>
      </c>
      <c r="O33" s="190"/>
      <c r="P33" s="191"/>
      <c r="Q33" s="190"/>
      <c r="R33" s="191"/>
      <c r="S33" s="294" t="s">
        <v>472</v>
      </c>
      <c r="T33" s="300" t="s">
        <v>658</v>
      </c>
      <c r="U33" s="306"/>
      <c r="V33" s="308"/>
      <c r="W33" s="248"/>
      <c r="X33" s="342"/>
      <c r="Y33" s="336"/>
      <c r="Z33" s="123"/>
      <c r="AA33" s="33"/>
      <c r="AB33" s="123"/>
      <c r="AC33" s="33"/>
      <c r="AD33" s="123"/>
      <c r="AE33" s="33"/>
      <c r="AF33" s="123"/>
      <c r="AG33" s="243"/>
      <c r="AH33" s="33"/>
      <c r="AI33" s="245"/>
      <c r="AJ33" s="125"/>
      <c r="AK33" s="91"/>
      <c r="AL33" s="126"/>
      <c r="AM33" s="91"/>
      <c r="AN33" s="91"/>
      <c r="AO33" s="197">
        <f t="shared" si="3"/>
        <v>0</v>
      </c>
      <c r="AP33" s="126"/>
      <c r="AQ33" s="217"/>
      <c r="AR33" s="201"/>
      <c r="AS33" s="266"/>
      <c r="AT33" s="94"/>
      <c r="AU33" s="84"/>
      <c r="AV33" s="80"/>
      <c r="AW33" s="81"/>
      <c r="AX33" s="77"/>
      <c r="AY33" s="107"/>
      <c r="AZ33" s="220">
        <f t="shared" si="0"/>
        <v>0</v>
      </c>
      <c r="BA33" s="220">
        <f t="shared" si="1"/>
        <v>0</v>
      </c>
    </row>
    <row r="34" spans="1:53" ht="50.1" customHeight="1" x14ac:dyDescent="0.25">
      <c r="A34" s="17">
        <f t="shared" si="2"/>
        <v>20</v>
      </c>
      <c r="B34" s="229"/>
      <c r="C34" s="222"/>
      <c r="D34" s="112"/>
      <c r="E34" s="128"/>
      <c r="F34" s="183"/>
      <c r="G34" s="130"/>
      <c r="H34" s="131"/>
      <c r="I34" s="132"/>
      <c r="J34" s="189"/>
      <c r="K34" s="133"/>
      <c r="L34" s="134"/>
      <c r="M34" s="334"/>
      <c r="N34" s="343"/>
      <c r="O34" s="192"/>
      <c r="P34" s="191"/>
      <c r="Q34" s="192"/>
      <c r="R34" s="191"/>
      <c r="S34" s="295"/>
      <c r="T34" s="301"/>
      <c r="U34" s="306"/>
      <c r="V34" s="308"/>
      <c r="W34" s="249"/>
      <c r="X34" s="344"/>
      <c r="Y34" s="337"/>
      <c r="Z34" s="33"/>
      <c r="AA34" s="83"/>
      <c r="AB34" s="33"/>
      <c r="AC34" s="83"/>
      <c r="AD34" s="33"/>
      <c r="AE34" s="83"/>
      <c r="AF34" s="33"/>
      <c r="AG34" s="244"/>
      <c r="AH34" s="83"/>
      <c r="AI34" s="246"/>
      <c r="AJ34" s="102"/>
      <c r="AK34" s="92"/>
      <c r="AL34" s="91"/>
      <c r="AM34" s="92"/>
      <c r="AN34" s="351"/>
      <c r="AO34" s="197">
        <f t="shared" si="3"/>
        <v>0</v>
      </c>
      <c r="AP34" s="91"/>
      <c r="AQ34" s="217"/>
      <c r="AR34" s="196"/>
      <c r="AS34" s="265"/>
      <c r="AT34" s="94"/>
      <c r="AU34" s="84"/>
      <c r="AV34" s="136"/>
      <c r="AW34" s="81"/>
      <c r="AX34" s="137"/>
      <c r="AY34" s="138"/>
      <c r="AZ34" s="220">
        <f t="shared" si="0"/>
        <v>0</v>
      </c>
      <c r="BA34" s="220">
        <f t="shared" si="1"/>
        <v>0</v>
      </c>
    </row>
    <row r="35" spans="1:53" ht="50.1" customHeight="1" x14ac:dyDescent="0.25">
      <c r="A35" s="17">
        <f t="shared" si="2"/>
        <v>21</v>
      </c>
      <c r="B35" s="228"/>
      <c r="C35" s="221"/>
      <c r="D35" s="88"/>
      <c r="E35" s="100"/>
      <c r="F35" s="95"/>
      <c r="G35" s="114"/>
      <c r="H35" s="96"/>
      <c r="I35" s="97"/>
      <c r="J35" s="98"/>
      <c r="K35" s="101"/>
      <c r="L35" s="124"/>
      <c r="M35" s="333"/>
      <c r="N35" s="341"/>
      <c r="O35" s="190"/>
      <c r="P35" s="191"/>
      <c r="Q35" s="190"/>
      <c r="R35" s="191"/>
      <c r="S35" s="294"/>
      <c r="T35" s="300"/>
      <c r="U35" s="306"/>
      <c r="V35" s="308"/>
      <c r="W35" s="248"/>
      <c r="X35" s="342"/>
      <c r="Y35" s="337"/>
      <c r="Z35" s="123"/>
      <c r="AA35" s="83"/>
      <c r="AB35" s="123"/>
      <c r="AC35" s="83"/>
      <c r="AD35" s="123"/>
      <c r="AE35" s="83"/>
      <c r="AF35" s="123"/>
      <c r="AG35" s="243"/>
      <c r="AH35" s="33"/>
      <c r="AI35" s="245"/>
      <c r="AJ35" s="125"/>
      <c r="AK35" s="92"/>
      <c r="AL35" s="126"/>
      <c r="AM35" s="91"/>
      <c r="AN35" s="91"/>
      <c r="AO35" s="197">
        <f t="shared" si="3"/>
        <v>0</v>
      </c>
      <c r="AP35" s="126"/>
      <c r="AQ35" s="217"/>
      <c r="AR35" s="201"/>
      <c r="AS35" s="266"/>
      <c r="AT35" s="94"/>
      <c r="AU35" s="84"/>
      <c r="AV35" s="80"/>
      <c r="AW35" s="81"/>
      <c r="AX35" s="77"/>
      <c r="AY35" s="107" t="s">
        <v>664</v>
      </c>
      <c r="AZ35" s="220">
        <f t="shared" si="0"/>
        <v>0</v>
      </c>
      <c r="BA35" s="220">
        <f t="shared" si="1"/>
        <v>0</v>
      </c>
    </row>
    <row r="36" spans="1:53" ht="50.1" customHeight="1" x14ac:dyDescent="0.25">
      <c r="A36" s="17">
        <f t="shared" si="2"/>
        <v>22</v>
      </c>
      <c r="B36" s="229"/>
      <c r="C36" s="222"/>
      <c r="D36" s="112"/>
      <c r="E36" s="128"/>
      <c r="F36" s="183"/>
      <c r="G36" s="130"/>
      <c r="H36" s="131"/>
      <c r="I36" s="132"/>
      <c r="J36" s="189"/>
      <c r="K36" s="133"/>
      <c r="L36" s="134"/>
      <c r="M36" s="334"/>
      <c r="N36" s="343"/>
      <c r="O36" s="192"/>
      <c r="P36" s="191"/>
      <c r="Q36" s="192"/>
      <c r="R36" s="191"/>
      <c r="S36" s="295"/>
      <c r="T36" s="301"/>
      <c r="U36" s="306"/>
      <c r="V36" s="308"/>
      <c r="W36" s="249"/>
      <c r="X36" s="344"/>
      <c r="Y36" s="337"/>
      <c r="Z36" s="33"/>
      <c r="AA36" s="83"/>
      <c r="AB36" s="33"/>
      <c r="AC36" s="83"/>
      <c r="AD36" s="33"/>
      <c r="AE36" s="83"/>
      <c r="AF36" s="33"/>
      <c r="AG36" s="244"/>
      <c r="AH36" s="83"/>
      <c r="AI36" s="246"/>
      <c r="AJ36" s="102"/>
      <c r="AK36" s="92"/>
      <c r="AL36" s="91"/>
      <c r="AM36" s="92"/>
      <c r="AN36" s="351"/>
      <c r="AO36" s="197">
        <f t="shared" si="3"/>
        <v>0</v>
      </c>
      <c r="AP36" s="91"/>
      <c r="AQ36" s="217"/>
      <c r="AR36" s="196"/>
      <c r="AS36" s="265"/>
      <c r="AT36" s="94"/>
      <c r="AU36" s="84"/>
      <c r="AV36" s="136"/>
      <c r="AW36" s="81"/>
      <c r="AX36" s="137"/>
      <c r="AY36" s="138"/>
      <c r="AZ36" s="220">
        <f t="shared" si="0"/>
        <v>0</v>
      </c>
      <c r="BA36" s="220">
        <f t="shared" si="1"/>
        <v>0</v>
      </c>
    </row>
    <row r="37" spans="1:53" ht="50.1" customHeight="1" x14ac:dyDescent="0.25">
      <c r="A37" s="17">
        <f t="shared" si="2"/>
        <v>23</v>
      </c>
      <c r="B37" s="228"/>
      <c r="C37" s="221"/>
      <c r="D37" s="88"/>
      <c r="E37" s="100"/>
      <c r="F37" s="95"/>
      <c r="G37" s="114"/>
      <c r="H37" s="96"/>
      <c r="I37" s="97"/>
      <c r="J37" s="98"/>
      <c r="K37" s="101"/>
      <c r="L37" s="124"/>
      <c r="M37" s="333"/>
      <c r="N37" s="341"/>
      <c r="O37" s="190"/>
      <c r="P37" s="191"/>
      <c r="Q37" s="190"/>
      <c r="R37" s="191"/>
      <c r="S37" s="294"/>
      <c r="T37" s="300"/>
      <c r="U37" s="306"/>
      <c r="V37" s="308"/>
      <c r="W37" s="248"/>
      <c r="X37" s="342"/>
      <c r="Y37" s="336"/>
      <c r="Z37" s="123"/>
      <c r="AA37" s="33"/>
      <c r="AB37" s="123"/>
      <c r="AC37" s="33"/>
      <c r="AD37" s="123"/>
      <c r="AE37" s="33"/>
      <c r="AF37" s="123"/>
      <c r="AG37" s="243"/>
      <c r="AH37" s="33"/>
      <c r="AI37" s="245"/>
      <c r="AJ37" s="125"/>
      <c r="AK37" s="91"/>
      <c r="AL37" s="126"/>
      <c r="AM37" s="91"/>
      <c r="AN37" s="91"/>
      <c r="AO37" s="197">
        <f t="shared" si="3"/>
        <v>0</v>
      </c>
      <c r="AP37" s="126"/>
      <c r="AQ37" s="217"/>
      <c r="AR37" s="201"/>
      <c r="AS37" s="266"/>
      <c r="AT37" s="94"/>
      <c r="AU37" s="84"/>
      <c r="AV37" s="80"/>
      <c r="AW37" s="81"/>
      <c r="AX37" s="77"/>
      <c r="AY37" s="107"/>
      <c r="AZ37" s="220">
        <f t="shared" si="0"/>
        <v>0</v>
      </c>
      <c r="BA37" s="220">
        <f t="shared" si="1"/>
        <v>0</v>
      </c>
    </row>
    <row r="38" spans="1:53" ht="50.1" customHeight="1" x14ac:dyDescent="0.25">
      <c r="A38" s="17">
        <f t="shared" si="2"/>
        <v>24</v>
      </c>
      <c r="B38" s="229"/>
      <c r="C38" s="222"/>
      <c r="D38" s="112"/>
      <c r="E38" s="128"/>
      <c r="F38" s="183"/>
      <c r="G38" s="130"/>
      <c r="H38" s="131"/>
      <c r="I38" s="132"/>
      <c r="J38" s="189"/>
      <c r="K38" s="133"/>
      <c r="L38" s="134"/>
      <c r="M38" s="334"/>
      <c r="N38" s="343"/>
      <c r="O38" s="192"/>
      <c r="P38" s="191"/>
      <c r="Q38" s="192"/>
      <c r="R38" s="191" t="s">
        <v>472</v>
      </c>
      <c r="S38" s="295" t="s">
        <v>472</v>
      </c>
      <c r="T38" s="301" t="s">
        <v>646</v>
      </c>
      <c r="U38" s="306"/>
      <c r="V38" s="308"/>
      <c r="W38" s="249"/>
      <c r="X38" s="344"/>
      <c r="Y38" s="337"/>
      <c r="Z38" s="33"/>
      <c r="AA38" s="83"/>
      <c r="AB38" s="33"/>
      <c r="AC38" s="83"/>
      <c r="AD38" s="33"/>
      <c r="AE38" s="83"/>
      <c r="AF38" s="33"/>
      <c r="AG38" s="244"/>
      <c r="AH38" s="83"/>
      <c r="AI38" s="246"/>
      <c r="AJ38" s="102"/>
      <c r="AK38" s="92"/>
      <c r="AL38" s="91"/>
      <c r="AM38" s="92"/>
      <c r="AN38" s="351"/>
      <c r="AO38" s="197">
        <f t="shared" si="3"/>
        <v>0</v>
      </c>
      <c r="AP38" s="91"/>
      <c r="AQ38" s="217"/>
      <c r="AR38" s="196"/>
      <c r="AS38" s="265"/>
      <c r="AT38" s="94"/>
      <c r="AU38" s="84"/>
      <c r="AV38" s="136"/>
      <c r="AW38" s="81"/>
      <c r="AX38" s="137"/>
      <c r="AY38" s="138"/>
      <c r="AZ38" s="220">
        <f t="shared" si="0"/>
        <v>0</v>
      </c>
      <c r="BA38" s="220">
        <f t="shared" si="1"/>
        <v>0</v>
      </c>
    </row>
    <row r="39" spans="1:53" ht="50.1" customHeight="1" x14ac:dyDescent="0.25">
      <c r="A39" s="17">
        <f t="shared" si="2"/>
        <v>25</v>
      </c>
      <c r="B39" s="228"/>
      <c r="C39" s="221"/>
      <c r="D39" s="88"/>
      <c r="E39" s="100"/>
      <c r="F39" s="95"/>
      <c r="G39" s="114"/>
      <c r="H39" s="96"/>
      <c r="I39" s="97"/>
      <c r="J39" s="98"/>
      <c r="K39" s="101"/>
      <c r="L39" s="124"/>
      <c r="M39" s="333"/>
      <c r="N39" s="341"/>
      <c r="O39" s="190"/>
      <c r="P39" s="191"/>
      <c r="Q39" s="190"/>
      <c r="R39" s="191"/>
      <c r="S39" s="294"/>
      <c r="T39" s="300"/>
      <c r="U39" s="306"/>
      <c r="V39" s="308"/>
      <c r="W39" s="248"/>
      <c r="X39" s="342"/>
      <c r="Y39" s="337"/>
      <c r="Z39" s="123"/>
      <c r="AA39" s="83"/>
      <c r="AB39" s="123"/>
      <c r="AC39" s="83"/>
      <c r="AD39" s="123"/>
      <c r="AE39" s="83"/>
      <c r="AF39" s="123"/>
      <c r="AG39" s="243"/>
      <c r="AH39" s="33"/>
      <c r="AI39" s="245"/>
      <c r="AJ39" s="125"/>
      <c r="AK39" s="92"/>
      <c r="AL39" s="126"/>
      <c r="AM39" s="91"/>
      <c r="AN39" s="91"/>
      <c r="AO39" s="197">
        <f t="shared" si="3"/>
        <v>0</v>
      </c>
      <c r="AP39" s="126"/>
      <c r="AQ39" s="217"/>
      <c r="AR39" s="201"/>
      <c r="AS39" s="266"/>
      <c r="AT39" s="94"/>
      <c r="AU39" s="84"/>
      <c r="AV39" s="80"/>
      <c r="AW39" s="81"/>
      <c r="AX39" s="77"/>
      <c r="AY39" s="107"/>
      <c r="AZ39" s="220">
        <f t="shared" si="0"/>
        <v>0</v>
      </c>
      <c r="BA39" s="220">
        <f t="shared" si="1"/>
        <v>0</v>
      </c>
    </row>
    <row r="40" spans="1:53" ht="50.1" customHeight="1" x14ac:dyDescent="0.25">
      <c r="A40" s="17">
        <f t="shared" si="2"/>
        <v>26</v>
      </c>
      <c r="B40" s="229"/>
      <c r="C40" s="222"/>
      <c r="D40" s="112"/>
      <c r="E40" s="128"/>
      <c r="F40" s="183"/>
      <c r="G40" s="130"/>
      <c r="H40" s="131"/>
      <c r="I40" s="132"/>
      <c r="J40" s="189"/>
      <c r="K40" s="133"/>
      <c r="L40" s="134"/>
      <c r="M40" s="334"/>
      <c r="N40" s="343"/>
      <c r="O40" s="192"/>
      <c r="P40" s="191"/>
      <c r="Q40" s="192"/>
      <c r="R40" s="191"/>
      <c r="S40" s="295"/>
      <c r="T40" s="301"/>
      <c r="U40" s="306"/>
      <c r="V40" s="308"/>
      <c r="W40" s="249"/>
      <c r="X40" s="344"/>
      <c r="Y40" s="337"/>
      <c r="Z40" s="33"/>
      <c r="AA40" s="83"/>
      <c r="AB40" s="33"/>
      <c r="AC40" s="83"/>
      <c r="AD40" s="33"/>
      <c r="AE40" s="83"/>
      <c r="AF40" s="33"/>
      <c r="AG40" s="244"/>
      <c r="AH40" s="83"/>
      <c r="AI40" s="246"/>
      <c r="AJ40" s="102"/>
      <c r="AK40" s="92"/>
      <c r="AL40" s="91"/>
      <c r="AM40" s="92"/>
      <c r="AN40" s="351"/>
      <c r="AO40" s="197">
        <f t="shared" si="3"/>
        <v>0</v>
      </c>
      <c r="AP40" s="91"/>
      <c r="AQ40" s="217"/>
      <c r="AR40" s="196"/>
      <c r="AS40" s="265"/>
      <c r="AT40" s="94"/>
      <c r="AU40" s="84"/>
      <c r="AV40" s="136"/>
      <c r="AW40" s="81"/>
      <c r="AX40" s="137"/>
      <c r="AY40" s="138"/>
      <c r="AZ40" s="220">
        <f t="shared" si="0"/>
        <v>0</v>
      </c>
      <c r="BA40" s="220">
        <f t="shared" si="1"/>
        <v>0</v>
      </c>
    </row>
    <row r="41" spans="1:53" ht="50.1" customHeight="1" x14ac:dyDescent="0.25">
      <c r="A41" s="17">
        <f t="shared" si="2"/>
        <v>27</v>
      </c>
      <c r="B41" s="228"/>
      <c r="C41" s="221"/>
      <c r="D41" s="88"/>
      <c r="E41" s="100"/>
      <c r="F41" s="95"/>
      <c r="G41" s="114"/>
      <c r="H41" s="96"/>
      <c r="I41" s="97"/>
      <c r="J41" s="98"/>
      <c r="K41" s="101"/>
      <c r="L41" s="124"/>
      <c r="M41" s="333"/>
      <c r="N41" s="341">
        <v>44021</v>
      </c>
      <c r="O41" s="190"/>
      <c r="P41" s="191"/>
      <c r="Q41" s="190"/>
      <c r="R41" s="191"/>
      <c r="S41" s="294" t="s">
        <v>459</v>
      </c>
      <c r="T41" s="300" t="s">
        <v>681</v>
      </c>
      <c r="U41" s="306" t="s">
        <v>472</v>
      </c>
      <c r="V41" s="308" t="s">
        <v>682</v>
      </c>
      <c r="W41" s="248"/>
      <c r="X41" s="342"/>
      <c r="Y41" s="337"/>
      <c r="Z41" s="123"/>
      <c r="AA41" s="83"/>
      <c r="AB41" s="123"/>
      <c r="AC41" s="83"/>
      <c r="AD41" s="123"/>
      <c r="AE41" s="83"/>
      <c r="AF41" s="123"/>
      <c r="AG41" s="243"/>
      <c r="AH41" s="33"/>
      <c r="AI41" s="245"/>
      <c r="AJ41" s="125"/>
      <c r="AK41" s="92"/>
      <c r="AL41" s="126"/>
      <c r="AM41" s="91"/>
      <c r="AN41" s="91"/>
      <c r="AO41" s="197">
        <f t="shared" si="3"/>
        <v>0</v>
      </c>
      <c r="AP41" s="126"/>
      <c r="AQ41" s="217"/>
      <c r="AR41" s="201"/>
      <c r="AS41" s="266"/>
      <c r="AT41" s="94"/>
      <c r="AU41" s="84"/>
      <c r="AV41" s="80"/>
      <c r="AW41" s="81"/>
      <c r="AX41" s="77"/>
      <c r="AY41" s="107"/>
      <c r="AZ41" s="220">
        <f t="shared" si="0"/>
        <v>0</v>
      </c>
      <c r="BA41" s="220">
        <f t="shared" si="1"/>
        <v>0</v>
      </c>
    </row>
    <row r="42" spans="1:53" ht="50.1" customHeight="1" x14ac:dyDescent="0.25">
      <c r="A42" s="17">
        <f t="shared" si="2"/>
        <v>28</v>
      </c>
      <c r="B42" s="229"/>
      <c r="C42" s="222"/>
      <c r="D42" s="112"/>
      <c r="E42" s="128"/>
      <c r="F42" s="183"/>
      <c r="G42" s="130"/>
      <c r="H42" s="131"/>
      <c r="I42" s="132"/>
      <c r="J42" s="189"/>
      <c r="K42" s="133"/>
      <c r="L42" s="134"/>
      <c r="M42" s="334"/>
      <c r="N42" s="343"/>
      <c r="O42" s="192"/>
      <c r="P42" s="191"/>
      <c r="Q42" s="192"/>
      <c r="R42" s="191"/>
      <c r="S42" s="295"/>
      <c r="T42" s="301"/>
      <c r="U42" s="306"/>
      <c r="V42" s="308"/>
      <c r="W42" s="249"/>
      <c r="X42" s="344"/>
      <c r="Y42" s="337"/>
      <c r="Z42" s="33"/>
      <c r="AA42" s="83"/>
      <c r="AB42" s="33"/>
      <c r="AC42" s="83"/>
      <c r="AD42" s="33"/>
      <c r="AE42" s="83"/>
      <c r="AF42" s="33"/>
      <c r="AG42" s="244"/>
      <c r="AH42" s="83"/>
      <c r="AI42" s="246"/>
      <c r="AJ42" s="102"/>
      <c r="AK42" s="92"/>
      <c r="AL42" s="91"/>
      <c r="AM42" s="92"/>
      <c r="AN42" s="351"/>
      <c r="AO42" s="197">
        <f t="shared" si="3"/>
        <v>0</v>
      </c>
      <c r="AP42" s="91"/>
      <c r="AQ42" s="217"/>
      <c r="AR42" s="196"/>
      <c r="AS42" s="265"/>
      <c r="AT42" s="94"/>
      <c r="AU42" s="84"/>
      <c r="AV42" s="136"/>
      <c r="AW42" s="81"/>
      <c r="AX42" s="137"/>
      <c r="AY42" s="138"/>
      <c r="AZ42" s="220">
        <f t="shared" si="0"/>
        <v>0</v>
      </c>
      <c r="BA42" s="220">
        <f t="shared" si="1"/>
        <v>0</v>
      </c>
    </row>
    <row r="43" spans="1:53" ht="50.1" customHeight="1" x14ac:dyDescent="0.25">
      <c r="A43" s="17">
        <f t="shared" si="2"/>
        <v>29</v>
      </c>
      <c r="B43" s="228"/>
      <c r="C43" s="221"/>
      <c r="D43" s="88"/>
      <c r="E43" s="100"/>
      <c r="F43" s="95"/>
      <c r="G43" s="114"/>
      <c r="H43" s="96"/>
      <c r="I43" s="97"/>
      <c r="J43" s="98"/>
      <c r="K43" s="101"/>
      <c r="L43" s="124"/>
      <c r="M43" s="333"/>
      <c r="N43" s="341"/>
      <c r="O43" s="190"/>
      <c r="P43" s="191"/>
      <c r="Q43" s="190"/>
      <c r="R43" s="191"/>
      <c r="S43" s="294"/>
      <c r="T43" s="300"/>
      <c r="U43" s="306"/>
      <c r="V43" s="308"/>
      <c r="W43" s="248"/>
      <c r="X43" s="342"/>
      <c r="Y43" s="336"/>
      <c r="Z43" s="123"/>
      <c r="AA43" s="33"/>
      <c r="AB43" s="123"/>
      <c r="AC43" s="33"/>
      <c r="AD43" s="123"/>
      <c r="AE43" s="33"/>
      <c r="AF43" s="123"/>
      <c r="AG43" s="243"/>
      <c r="AH43" s="33"/>
      <c r="AI43" s="245"/>
      <c r="AJ43" s="125"/>
      <c r="AK43" s="91"/>
      <c r="AL43" s="126"/>
      <c r="AM43" s="91"/>
      <c r="AN43" s="91"/>
      <c r="AO43" s="197">
        <f t="shared" si="3"/>
        <v>0</v>
      </c>
      <c r="AP43" s="126"/>
      <c r="AQ43" s="217"/>
      <c r="AR43" s="201"/>
      <c r="AS43" s="266"/>
      <c r="AT43" s="94"/>
      <c r="AU43" s="84"/>
      <c r="AV43" s="80"/>
      <c r="AW43" s="81"/>
      <c r="AX43" s="77"/>
      <c r="AY43" s="107"/>
      <c r="AZ43" s="220">
        <f t="shared" si="0"/>
        <v>0</v>
      </c>
      <c r="BA43" s="220">
        <f t="shared" si="1"/>
        <v>0</v>
      </c>
    </row>
    <row r="44" spans="1:53" ht="50.1" customHeight="1" x14ac:dyDescent="0.25">
      <c r="A44" s="17">
        <f t="shared" si="2"/>
        <v>30</v>
      </c>
      <c r="B44" s="229"/>
      <c r="C44" s="222"/>
      <c r="D44" s="112"/>
      <c r="E44" s="128"/>
      <c r="F44" s="183"/>
      <c r="G44" s="130"/>
      <c r="H44" s="131"/>
      <c r="I44" s="132"/>
      <c r="J44" s="189"/>
      <c r="K44" s="133"/>
      <c r="L44" s="134"/>
      <c r="M44" s="334"/>
      <c r="N44" s="343"/>
      <c r="O44" s="192"/>
      <c r="P44" s="191"/>
      <c r="Q44" s="192"/>
      <c r="R44" s="191"/>
      <c r="S44" s="295"/>
      <c r="T44" s="301"/>
      <c r="U44" s="306"/>
      <c r="V44" s="308"/>
      <c r="W44" s="249"/>
      <c r="X44" s="344"/>
      <c r="Y44" s="337"/>
      <c r="Z44" s="33"/>
      <c r="AA44" s="83"/>
      <c r="AB44" s="33"/>
      <c r="AC44" s="83"/>
      <c r="AD44" s="33"/>
      <c r="AE44" s="83"/>
      <c r="AF44" s="33"/>
      <c r="AG44" s="244"/>
      <c r="AH44" s="83"/>
      <c r="AI44" s="246"/>
      <c r="AJ44" s="102"/>
      <c r="AK44" s="92"/>
      <c r="AL44" s="91"/>
      <c r="AM44" s="92"/>
      <c r="AN44" s="351"/>
      <c r="AO44" s="197">
        <f t="shared" si="3"/>
        <v>0</v>
      </c>
      <c r="AP44" s="91"/>
      <c r="AQ44" s="217"/>
      <c r="AR44" s="196"/>
      <c r="AS44" s="265"/>
      <c r="AT44" s="94"/>
      <c r="AU44" s="84"/>
      <c r="AV44" s="136"/>
      <c r="AW44" s="81"/>
      <c r="AX44" s="137"/>
      <c r="AY44" s="138"/>
      <c r="AZ44" s="220">
        <f t="shared" si="0"/>
        <v>0</v>
      </c>
      <c r="BA44" s="220">
        <f t="shared" si="1"/>
        <v>0</v>
      </c>
    </row>
    <row r="45" spans="1:53" ht="50.1" customHeight="1" x14ac:dyDescent="0.25">
      <c r="A45" s="17">
        <f t="shared" si="2"/>
        <v>31</v>
      </c>
      <c r="B45" s="228"/>
      <c r="C45" s="221"/>
      <c r="D45" s="88"/>
      <c r="E45" s="100"/>
      <c r="F45" s="95"/>
      <c r="G45" s="114"/>
      <c r="H45" s="96"/>
      <c r="I45" s="97"/>
      <c r="J45" s="98"/>
      <c r="K45" s="101"/>
      <c r="L45" s="124"/>
      <c r="M45" s="333"/>
      <c r="N45" s="341"/>
      <c r="O45" s="190"/>
      <c r="P45" s="191"/>
      <c r="Q45" s="190"/>
      <c r="R45" s="191"/>
      <c r="S45" s="294"/>
      <c r="T45" s="300"/>
      <c r="U45" s="306"/>
      <c r="V45" s="308"/>
      <c r="W45" s="248"/>
      <c r="X45" s="342"/>
      <c r="Y45" s="337"/>
      <c r="Z45" s="123"/>
      <c r="AA45" s="83"/>
      <c r="AB45" s="123"/>
      <c r="AC45" s="83"/>
      <c r="AD45" s="123"/>
      <c r="AE45" s="83"/>
      <c r="AF45" s="123"/>
      <c r="AG45" s="243"/>
      <c r="AH45" s="33"/>
      <c r="AI45" s="245"/>
      <c r="AJ45" s="125"/>
      <c r="AK45" s="92"/>
      <c r="AL45" s="126"/>
      <c r="AM45" s="91"/>
      <c r="AN45" s="91"/>
      <c r="AO45" s="197">
        <f t="shared" si="3"/>
        <v>0</v>
      </c>
      <c r="AP45" s="126"/>
      <c r="AQ45" s="217"/>
      <c r="AR45" s="201"/>
      <c r="AS45" s="266"/>
      <c r="AT45" s="94"/>
      <c r="AU45" s="84"/>
      <c r="AV45" s="80"/>
      <c r="AW45" s="81"/>
      <c r="AX45" s="77"/>
      <c r="AY45" s="107"/>
      <c r="AZ45" s="220">
        <f t="shared" si="0"/>
        <v>0</v>
      </c>
      <c r="BA45" s="220">
        <f t="shared" si="1"/>
        <v>0</v>
      </c>
    </row>
    <row r="46" spans="1:53" ht="50.1" customHeight="1" x14ac:dyDescent="0.25">
      <c r="A46" s="17">
        <f t="shared" si="2"/>
        <v>32</v>
      </c>
      <c r="B46" s="229"/>
      <c r="C46" s="222"/>
      <c r="D46" s="112"/>
      <c r="E46" s="128"/>
      <c r="F46" s="183"/>
      <c r="G46" s="130"/>
      <c r="H46" s="131"/>
      <c r="I46" s="132"/>
      <c r="J46" s="189"/>
      <c r="K46" s="133"/>
      <c r="L46" s="134"/>
      <c r="M46" s="334"/>
      <c r="N46" s="343"/>
      <c r="O46" s="192"/>
      <c r="P46" s="191"/>
      <c r="Q46" s="192"/>
      <c r="R46" s="191"/>
      <c r="S46" s="295"/>
      <c r="T46" s="301"/>
      <c r="U46" s="306"/>
      <c r="V46" s="308"/>
      <c r="W46" s="249"/>
      <c r="X46" s="344"/>
      <c r="Y46" s="337"/>
      <c r="Z46" s="33"/>
      <c r="AA46" s="83"/>
      <c r="AB46" s="33"/>
      <c r="AC46" s="83"/>
      <c r="AD46" s="33"/>
      <c r="AE46" s="83"/>
      <c r="AF46" s="33"/>
      <c r="AG46" s="244"/>
      <c r="AH46" s="83"/>
      <c r="AI46" s="246"/>
      <c r="AJ46" s="195"/>
      <c r="AK46" s="92"/>
      <c r="AL46" s="91"/>
      <c r="AM46" s="92"/>
      <c r="AN46" s="351"/>
      <c r="AO46" s="197">
        <f t="shared" si="3"/>
        <v>0</v>
      </c>
      <c r="AP46" s="91"/>
      <c r="AQ46" s="217"/>
      <c r="AR46" s="196"/>
      <c r="AS46" s="265"/>
      <c r="AT46" s="94"/>
      <c r="AU46" s="84"/>
      <c r="AV46" s="136"/>
      <c r="AW46" s="81"/>
      <c r="AX46" s="137"/>
      <c r="AY46" s="138"/>
      <c r="AZ46" s="220">
        <f t="shared" si="0"/>
        <v>0</v>
      </c>
      <c r="BA46" s="220">
        <f t="shared" si="1"/>
        <v>0</v>
      </c>
    </row>
    <row r="47" spans="1:53" ht="50.1" customHeight="1" x14ac:dyDescent="0.25">
      <c r="A47" s="17">
        <f t="shared" si="2"/>
        <v>33</v>
      </c>
      <c r="B47" s="228"/>
      <c r="C47" s="221"/>
      <c r="D47" s="88"/>
      <c r="E47" s="100"/>
      <c r="F47" s="95"/>
      <c r="G47" s="114"/>
      <c r="H47" s="96"/>
      <c r="I47" s="97"/>
      <c r="J47" s="98"/>
      <c r="K47" s="101"/>
      <c r="L47" s="124"/>
      <c r="M47" s="333"/>
      <c r="N47" s="341"/>
      <c r="O47" s="190"/>
      <c r="P47" s="191"/>
      <c r="Q47" s="190"/>
      <c r="R47" s="191"/>
      <c r="S47" s="294"/>
      <c r="T47" s="300"/>
      <c r="U47" s="306"/>
      <c r="V47" s="308"/>
      <c r="W47" s="248"/>
      <c r="X47" s="342"/>
      <c r="Y47" s="337"/>
      <c r="Z47" s="123"/>
      <c r="AA47" s="83"/>
      <c r="AB47" s="123"/>
      <c r="AC47" s="83"/>
      <c r="AD47" s="123"/>
      <c r="AE47" s="83"/>
      <c r="AF47" s="123"/>
      <c r="AG47" s="243"/>
      <c r="AH47" s="33"/>
      <c r="AI47" s="245"/>
      <c r="AJ47" s="198"/>
      <c r="AK47" s="92"/>
      <c r="AL47" s="126"/>
      <c r="AM47" s="91"/>
      <c r="AN47" s="91"/>
      <c r="AO47" s="197">
        <f t="shared" si="3"/>
        <v>0</v>
      </c>
      <c r="AP47" s="126"/>
      <c r="AQ47" s="217"/>
      <c r="AR47" s="201"/>
      <c r="AS47" s="266"/>
      <c r="AT47" s="94"/>
      <c r="AU47" s="84"/>
      <c r="AV47" s="80"/>
      <c r="AW47" s="81"/>
      <c r="AX47" s="77"/>
      <c r="AY47" s="107"/>
      <c r="AZ47" s="220">
        <f t="shared" si="0"/>
        <v>0</v>
      </c>
      <c r="BA47" s="220">
        <f t="shared" si="1"/>
        <v>0</v>
      </c>
    </row>
    <row r="48" spans="1:53" ht="50.1" customHeight="1" x14ac:dyDescent="0.25">
      <c r="A48" s="17">
        <f t="shared" si="2"/>
        <v>34</v>
      </c>
      <c r="B48" s="229"/>
      <c r="C48" s="222"/>
      <c r="D48" s="112"/>
      <c r="E48" s="128"/>
      <c r="F48" s="183"/>
      <c r="G48" s="130"/>
      <c r="H48" s="131"/>
      <c r="I48" s="132"/>
      <c r="J48" s="189"/>
      <c r="K48" s="133"/>
      <c r="L48" s="134"/>
      <c r="M48" s="334"/>
      <c r="N48" s="343"/>
      <c r="O48" s="192"/>
      <c r="P48" s="191"/>
      <c r="Q48" s="192"/>
      <c r="R48" s="191"/>
      <c r="S48" s="296" t="s">
        <v>472</v>
      </c>
      <c r="T48" s="302" t="s">
        <v>701</v>
      </c>
      <c r="U48" s="306"/>
      <c r="V48" s="308"/>
      <c r="W48" s="249"/>
      <c r="X48" s="344"/>
      <c r="Y48" s="337"/>
      <c r="Z48" s="33"/>
      <c r="AA48" s="83"/>
      <c r="AB48" s="33"/>
      <c r="AC48" s="83"/>
      <c r="AD48" s="33"/>
      <c r="AE48" s="83"/>
      <c r="AF48" s="33"/>
      <c r="AG48" s="244"/>
      <c r="AH48" s="83"/>
      <c r="AI48" s="246"/>
      <c r="AJ48" s="195"/>
      <c r="AK48" s="92"/>
      <c r="AL48" s="91"/>
      <c r="AM48" s="92"/>
      <c r="AN48" s="351"/>
      <c r="AO48" s="197">
        <f t="shared" si="3"/>
        <v>0</v>
      </c>
      <c r="AP48" s="91"/>
      <c r="AQ48" s="217"/>
      <c r="AR48" s="196"/>
      <c r="AS48" s="265"/>
      <c r="AT48" s="94"/>
      <c r="AU48" s="84"/>
      <c r="AV48" s="136"/>
      <c r="AW48" s="81"/>
      <c r="AX48" s="137"/>
      <c r="AY48" s="138"/>
      <c r="AZ48" s="220">
        <f t="shared" si="0"/>
        <v>0</v>
      </c>
      <c r="BA48" s="220">
        <f t="shared" si="1"/>
        <v>0</v>
      </c>
    </row>
    <row r="49" spans="1:53" ht="50.1" customHeight="1" x14ac:dyDescent="0.25">
      <c r="A49" s="17">
        <f t="shared" si="2"/>
        <v>35</v>
      </c>
      <c r="B49" s="228"/>
      <c r="C49" s="221"/>
      <c r="D49" s="88"/>
      <c r="E49" s="100"/>
      <c r="F49" s="95"/>
      <c r="G49" s="114"/>
      <c r="H49" s="96"/>
      <c r="I49" s="97"/>
      <c r="J49" s="98"/>
      <c r="K49" s="101"/>
      <c r="L49" s="124"/>
      <c r="M49" s="333"/>
      <c r="N49" s="341"/>
      <c r="O49" s="190"/>
      <c r="P49" s="191"/>
      <c r="Q49" s="190"/>
      <c r="R49" s="191"/>
      <c r="S49" s="294"/>
      <c r="T49" s="300"/>
      <c r="U49" s="306"/>
      <c r="V49" s="308"/>
      <c r="W49" s="248"/>
      <c r="X49" s="342"/>
      <c r="Y49" s="336"/>
      <c r="Z49" s="199"/>
      <c r="AA49" s="33"/>
      <c r="AB49" s="199"/>
      <c r="AC49" s="33"/>
      <c r="AD49" s="199"/>
      <c r="AE49" s="33"/>
      <c r="AF49" s="199"/>
      <c r="AG49" s="243"/>
      <c r="AH49" s="227"/>
      <c r="AI49" s="245"/>
      <c r="AJ49" s="125"/>
      <c r="AK49" s="91"/>
      <c r="AL49" s="126"/>
      <c r="AM49" s="91"/>
      <c r="AN49" s="91"/>
      <c r="AO49" s="197">
        <f t="shared" si="3"/>
        <v>0</v>
      </c>
      <c r="AP49" s="126"/>
      <c r="AQ49" s="217"/>
      <c r="AR49" s="201"/>
      <c r="AS49" s="266"/>
      <c r="AT49" s="94"/>
      <c r="AU49" s="84"/>
      <c r="AV49" s="80"/>
      <c r="AW49" s="81"/>
      <c r="AX49" s="77"/>
      <c r="AY49" s="107"/>
      <c r="AZ49" s="220">
        <f t="shared" si="0"/>
        <v>0</v>
      </c>
      <c r="BA49" s="220">
        <f t="shared" si="1"/>
        <v>0</v>
      </c>
    </row>
    <row r="50" spans="1:53" ht="50.1" customHeight="1" x14ac:dyDescent="0.25">
      <c r="A50" s="17">
        <f t="shared" si="2"/>
        <v>36</v>
      </c>
      <c r="B50" s="229"/>
      <c r="C50" s="222"/>
      <c r="D50" s="112"/>
      <c r="E50" s="100"/>
      <c r="F50" s="95"/>
      <c r="G50" s="114"/>
      <c r="H50" s="96"/>
      <c r="I50" s="97"/>
      <c r="J50" s="189"/>
      <c r="K50" s="133"/>
      <c r="L50" s="134"/>
      <c r="M50" s="334"/>
      <c r="N50" s="343"/>
      <c r="O50" s="192"/>
      <c r="P50" s="191"/>
      <c r="Q50" s="192"/>
      <c r="R50" s="191"/>
      <c r="S50" s="295"/>
      <c r="T50" s="301"/>
      <c r="U50" s="306"/>
      <c r="V50" s="308"/>
      <c r="W50" s="249"/>
      <c r="X50" s="345"/>
      <c r="Y50" s="337"/>
      <c r="Z50" s="33"/>
      <c r="AA50" s="83"/>
      <c r="AB50" s="33"/>
      <c r="AC50" s="83"/>
      <c r="AD50" s="33"/>
      <c r="AE50" s="83"/>
      <c r="AF50" s="33"/>
      <c r="AG50" s="244"/>
      <c r="AH50" s="83"/>
      <c r="AI50" s="246"/>
      <c r="AJ50" s="102"/>
      <c r="AK50" s="92"/>
      <c r="AL50" s="91"/>
      <c r="AM50" s="92"/>
      <c r="AN50" s="351"/>
      <c r="AO50" s="197">
        <f t="shared" si="3"/>
        <v>0</v>
      </c>
      <c r="AP50" s="91"/>
      <c r="AQ50" s="217"/>
      <c r="AR50" s="196"/>
      <c r="AS50" s="265"/>
      <c r="AT50" s="210"/>
      <c r="AU50" s="84"/>
      <c r="AV50" s="136"/>
      <c r="AW50" s="209"/>
      <c r="AX50" s="137"/>
      <c r="AY50" s="138"/>
      <c r="AZ50" s="220">
        <f t="shared" si="0"/>
        <v>0</v>
      </c>
      <c r="BA50" s="220">
        <f t="shared" si="1"/>
        <v>0</v>
      </c>
    </row>
    <row r="51" spans="1:53" ht="50.1" customHeight="1" x14ac:dyDescent="0.25">
      <c r="A51" s="17">
        <f t="shared" si="2"/>
        <v>37</v>
      </c>
      <c r="B51" s="228"/>
      <c r="C51" s="221"/>
      <c r="D51" s="88"/>
      <c r="E51" s="128"/>
      <c r="F51" s="183"/>
      <c r="G51" s="130"/>
      <c r="H51" s="131"/>
      <c r="I51" s="132"/>
      <c r="J51" s="98"/>
      <c r="K51" s="101"/>
      <c r="L51" s="124"/>
      <c r="M51" s="333"/>
      <c r="N51" s="341">
        <v>44025</v>
      </c>
      <c r="O51" s="190"/>
      <c r="P51" s="191"/>
      <c r="Q51" s="190"/>
      <c r="R51" s="191" t="s">
        <v>472</v>
      </c>
      <c r="S51" s="294" t="s">
        <v>472</v>
      </c>
      <c r="T51" s="300" t="s">
        <v>707</v>
      </c>
      <c r="U51" s="306"/>
      <c r="V51" s="308"/>
      <c r="W51" s="248"/>
      <c r="X51" s="342"/>
      <c r="Y51" s="337"/>
      <c r="Z51" s="123"/>
      <c r="AA51" s="83"/>
      <c r="AB51" s="123"/>
      <c r="AC51" s="83"/>
      <c r="AD51" s="123"/>
      <c r="AE51" s="83"/>
      <c r="AF51" s="123"/>
      <c r="AG51" s="243"/>
      <c r="AH51" s="33"/>
      <c r="AI51" s="245"/>
      <c r="AJ51" s="125"/>
      <c r="AK51" s="92"/>
      <c r="AL51" s="126"/>
      <c r="AM51" s="91"/>
      <c r="AN51" s="91"/>
      <c r="AO51" s="197">
        <f t="shared" si="3"/>
        <v>0</v>
      </c>
      <c r="AP51" s="126"/>
      <c r="AQ51" s="217"/>
      <c r="AR51" s="201"/>
      <c r="AS51" s="266"/>
      <c r="AT51" s="94"/>
      <c r="AU51" s="84"/>
      <c r="AV51" s="80"/>
      <c r="AW51" s="81"/>
      <c r="AX51" s="77"/>
      <c r="AY51" s="107"/>
      <c r="AZ51" s="220">
        <f t="shared" si="0"/>
        <v>0</v>
      </c>
      <c r="BA51" s="220">
        <f t="shared" si="1"/>
        <v>0</v>
      </c>
    </row>
    <row r="52" spans="1:53" ht="50.1" customHeight="1" x14ac:dyDescent="0.25">
      <c r="A52" s="17">
        <f t="shared" si="2"/>
        <v>38</v>
      </c>
      <c r="B52" s="229"/>
      <c r="C52" s="222"/>
      <c r="D52" s="112"/>
      <c r="E52" s="100"/>
      <c r="F52" s="95"/>
      <c r="G52" s="114"/>
      <c r="H52" s="96"/>
      <c r="I52" s="97"/>
      <c r="J52" s="189"/>
      <c r="K52" s="133"/>
      <c r="L52" s="134"/>
      <c r="M52" s="334"/>
      <c r="N52" s="343"/>
      <c r="O52" s="192"/>
      <c r="P52" s="191"/>
      <c r="Q52" s="192"/>
      <c r="R52" s="191"/>
      <c r="S52" s="295"/>
      <c r="T52" s="301"/>
      <c r="U52" s="306"/>
      <c r="V52" s="308"/>
      <c r="W52" s="249"/>
      <c r="X52" s="344"/>
      <c r="Y52" s="337"/>
      <c r="Z52" s="33"/>
      <c r="AA52" s="83"/>
      <c r="AB52" s="33"/>
      <c r="AC52" s="83"/>
      <c r="AD52" s="33"/>
      <c r="AE52" s="83"/>
      <c r="AF52" s="33"/>
      <c r="AG52" s="244"/>
      <c r="AH52" s="83"/>
      <c r="AI52" s="246"/>
      <c r="AJ52" s="102"/>
      <c r="AK52" s="92"/>
      <c r="AL52" s="91"/>
      <c r="AM52" s="92"/>
      <c r="AN52" s="351"/>
      <c r="AO52" s="197">
        <f t="shared" si="3"/>
        <v>0</v>
      </c>
      <c r="AP52" s="91"/>
      <c r="AQ52" s="217"/>
      <c r="AR52" s="196"/>
      <c r="AS52" s="265"/>
      <c r="AT52" s="94"/>
      <c r="AU52" s="84"/>
      <c r="AV52" s="136"/>
      <c r="AW52" s="81"/>
      <c r="AX52" s="137"/>
      <c r="AY52" s="138" t="s">
        <v>710</v>
      </c>
      <c r="AZ52" s="220">
        <f t="shared" si="0"/>
        <v>0</v>
      </c>
      <c r="BA52" s="220">
        <f t="shared" si="1"/>
        <v>0</v>
      </c>
    </row>
    <row r="53" spans="1:53" ht="50.1" customHeight="1" x14ac:dyDescent="0.25">
      <c r="A53" s="17">
        <f t="shared" si="2"/>
        <v>39</v>
      </c>
      <c r="B53" s="228"/>
      <c r="C53" s="221"/>
      <c r="D53" s="88"/>
      <c r="E53" s="128"/>
      <c r="F53" s="183"/>
      <c r="G53" s="130"/>
      <c r="H53" s="131"/>
      <c r="I53" s="132"/>
      <c r="J53" s="98"/>
      <c r="K53" s="101"/>
      <c r="L53" s="124"/>
      <c r="M53" s="333"/>
      <c r="N53" s="341"/>
      <c r="O53" s="190"/>
      <c r="P53" s="191"/>
      <c r="Q53" s="190"/>
      <c r="R53" s="191"/>
      <c r="S53" s="294"/>
      <c r="T53" s="300"/>
      <c r="U53" s="306"/>
      <c r="V53" s="308"/>
      <c r="W53" s="248"/>
      <c r="X53" s="342"/>
      <c r="Y53" s="337"/>
      <c r="Z53" s="123"/>
      <c r="AA53" s="83"/>
      <c r="AB53" s="123"/>
      <c r="AC53" s="83"/>
      <c r="AD53" s="123"/>
      <c r="AE53" s="83"/>
      <c r="AF53" s="123"/>
      <c r="AG53" s="243"/>
      <c r="AH53" s="33"/>
      <c r="AI53" s="245"/>
      <c r="AJ53" s="125"/>
      <c r="AK53" s="92"/>
      <c r="AL53" s="126"/>
      <c r="AM53" s="91"/>
      <c r="AN53" s="91"/>
      <c r="AO53" s="197">
        <f t="shared" si="3"/>
        <v>0</v>
      </c>
      <c r="AP53" s="126"/>
      <c r="AQ53" s="217"/>
      <c r="AR53" s="201"/>
      <c r="AS53" s="266"/>
      <c r="AT53" s="94"/>
      <c r="AU53" s="84"/>
      <c r="AV53" s="80"/>
      <c r="AW53" s="81"/>
      <c r="AX53" s="77"/>
      <c r="AY53" s="107"/>
      <c r="AZ53" s="220">
        <f t="shared" si="0"/>
        <v>0</v>
      </c>
      <c r="BA53" s="220">
        <f t="shared" si="1"/>
        <v>0</v>
      </c>
    </row>
    <row r="54" spans="1:53" ht="50.1" customHeight="1" x14ac:dyDescent="0.25">
      <c r="A54" s="17">
        <f t="shared" si="2"/>
        <v>40</v>
      </c>
      <c r="B54" s="229"/>
      <c r="C54" s="222"/>
      <c r="D54" s="112"/>
      <c r="E54" s="100"/>
      <c r="F54" s="95"/>
      <c r="G54" s="114"/>
      <c r="H54" s="96"/>
      <c r="I54" s="97"/>
      <c r="J54" s="189"/>
      <c r="K54" s="133"/>
      <c r="L54" s="134"/>
      <c r="M54" s="334"/>
      <c r="N54" s="343"/>
      <c r="O54" s="192"/>
      <c r="P54" s="191"/>
      <c r="Q54" s="192"/>
      <c r="R54" s="191"/>
      <c r="S54" s="295"/>
      <c r="T54" s="301"/>
      <c r="U54" s="306"/>
      <c r="V54" s="308"/>
      <c r="W54" s="249"/>
      <c r="X54" s="344"/>
      <c r="Y54" s="337"/>
      <c r="Z54" s="33"/>
      <c r="AA54" s="83"/>
      <c r="AB54" s="33"/>
      <c r="AC54" s="83"/>
      <c r="AD54" s="33"/>
      <c r="AE54" s="83"/>
      <c r="AF54" s="33"/>
      <c r="AG54" s="244"/>
      <c r="AH54" s="83"/>
      <c r="AI54" s="246"/>
      <c r="AJ54" s="102"/>
      <c r="AK54" s="92"/>
      <c r="AL54" s="91"/>
      <c r="AM54" s="92"/>
      <c r="AN54" s="351"/>
      <c r="AO54" s="197">
        <f t="shared" si="3"/>
        <v>0</v>
      </c>
      <c r="AP54" s="91"/>
      <c r="AQ54" s="217"/>
      <c r="AR54" s="196"/>
      <c r="AS54" s="265"/>
      <c r="AT54" s="94" t="s">
        <v>472</v>
      </c>
      <c r="AU54" s="84">
        <v>44022</v>
      </c>
      <c r="AV54" s="136"/>
      <c r="AW54" s="81"/>
      <c r="AX54" s="137"/>
      <c r="AY54" s="138"/>
      <c r="AZ54" s="220">
        <f t="shared" si="0"/>
        <v>0</v>
      </c>
      <c r="BA54" s="220">
        <f t="shared" si="1"/>
        <v>44022</v>
      </c>
    </row>
    <row r="55" spans="1:53" ht="50.1" customHeight="1" x14ac:dyDescent="0.25">
      <c r="A55" s="17">
        <f t="shared" si="2"/>
        <v>41</v>
      </c>
      <c r="B55" s="228"/>
      <c r="C55" s="221"/>
      <c r="D55" s="88"/>
      <c r="E55" s="128"/>
      <c r="F55" s="183"/>
      <c r="G55" s="130"/>
      <c r="H55" s="131"/>
      <c r="I55" s="132"/>
      <c r="J55" s="98"/>
      <c r="K55" s="101"/>
      <c r="L55" s="124"/>
      <c r="M55" s="333"/>
      <c r="N55" s="341">
        <v>44022</v>
      </c>
      <c r="O55" s="190"/>
      <c r="P55" s="191"/>
      <c r="Q55" s="190"/>
      <c r="R55" s="191" t="s">
        <v>472</v>
      </c>
      <c r="S55" s="294" t="s">
        <v>472</v>
      </c>
      <c r="T55" s="300" t="s">
        <v>717</v>
      </c>
      <c r="U55" s="306" t="s">
        <v>459</v>
      </c>
      <c r="V55" s="308" t="s">
        <v>718</v>
      </c>
      <c r="W55" s="248"/>
      <c r="X55" s="342"/>
      <c r="Y55" s="337"/>
      <c r="Z55" s="123"/>
      <c r="AA55" s="83"/>
      <c r="AB55" s="123"/>
      <c r="AC55" s="83"/>
      <c r="AD55" s="123"/>
      <c r="AE55" s="83"/>
      <c r="AF55" s="123"/>
      <c r="AG55" s="243"/>
      <c r="AH55" s="33"/>
      <c r="AI55" s="245"/>
      <c r="AJ55" s="125"/>
      <c r="AK55" s="92"/>
      <c r="AL55" s="126"/>
      <c r="AM55" s="91"/>
      <c r="AN55" s="91"/>
      <c r="AO55" s="197">
        <f t="shared" si="3"/>
        <v>0</v>
      </c>
      <c r="AP55" s="126"/>
      <c r="AQ55" s="217"/>
      <c r="AR55" s="201"/>
      <c r="AS55" s="266"/>
      <c r="AT55" s="94"/>
      <c r="AU55" s="84"/>
      <c r="AV55" s="80"/>
      <c r="AW55" s="81"/>
      <c r="AX55" s="77"/>
      <c r="AY55" s="107"/>
      <c r="AZ55" s="220">
        <f t="shared" si="0"/>
        <v>0</v>
      </c>
      <c r="BA55" s="220">
        <f t="shared" si="1"/>
        <v>0</v>
      </c>
    </row>
    <row r="56" spans="1:53" ht="50.1" customHeight="1" x14ac:dyDescent="0.25">
      <c r="A56" s="17">
        <f t="shared" si="2"/>
        <v>42</v>
      </c>
      <c r="B56" s="229"/>
      <c r="C56" s="222"/>
      <c r="D56" s="112"/>
      <c r="E56" s="100"/>
      <c r="F56" s="95"/>
      <c r="G56" s="114"/>
      <c r="H56" s="96"/>
      <c r="I56" s="97"/>
      <c r="J56" s="189"/>
      <c r="K56" s="133"/>
      <c r="L56" s="134"/>
      <c r="M56" s="334"/>
      <c r="N56" s="343">
        <v>44033</v>
      </c>
      <c r="O56" s="192"/>
      <c r="P56" s="191"/>
      <c r="Q56" s="192"/>
      <c r="R56" s="191"/>
      <c r="S56" s="295" t="s">
        <v>472</v>
      </c>
      <c r="T56" s="301" t="s">
        <v>722</v>
      </c>
      <c r="U56" s="306" t="s">
        <v>472</v>
      </c>
      <c r="V56" s="308" t="s">
        <v>724</v>
      </c>
      <c r="W56" s="249"/>
      <c r="X56" s="344"/>
      <c r="Y56" s="337"/>
      <c r="Z56" s="33"/>
      <c r="AA56" s="83"/>
      <c r="AB56" s="33"/>
      <c r="AC56" s="83"/>
      <c r="AD56" s="33"/>
      <c r="AE56" s="83"/>
      <c r="AF56" s="33"/>
      <c r="AG56" s="244"/>
      <c r="AH56" s="83"/>
      <c r="AI56" s="246"/>
      <c r="AJ56" s="102"/>
      <c r="AK56" s="92"/>
      <c r="AL56" s="91"/>
      <c r="AM56" s="92"/>
      <c r="AN56" s="351"/>
      <c r="AO56" s="197">
        <f t="shared" si="3"/>
        <v>0</v>
      </c>
      <c r="AP56" s="91"/>
      <c r="AQ56" s="217"/>
      <c r="AR56" s="196"/>
      <c r="AS56" s="265"/>
      <c r="AT56" s="94"/>
      <c r="AU56" s="84"/>
      <c r="AV56" s="136"/>
      <c r="AW56" s="81"/>
      <c r="AX56" s="137"/>
      <c r="AY56" s="138"/>
      <c r="AZ56" s="220">
        <f t="shared" si="0"/>
        <v>0</v>
      </c>
      <c r="BA56" s="220">
        <f t="shared" si="1"/>
        <v>0</v>
      </c>
    </row>
    <row r="57" spans="1:53" ht="50.1" customHeight="1" x14ac:dyDescent="0.25">
      <c r="A57" s="17">
        <f t="shared" si="2"/>
        <v>43</v>
      </c>
      <c r="B57" s="228"/>
      <c r="C57" s="221"/>
      <c r="D57" s="88"/>
      <c r="E57" s="128"/>
      <c r="F57" s="183"/>
      <c r="G57" s="130"/>
      <c r="H57" s="131"/>
      <c r="I57" s="132"/>
      <c r="J57" s="98"/>
      <c r="K57" s="101"/>
      <c r="L57" s="124"/>
      <c r="M57" s="333"/>
      <c r="N57" s="341">
        <v>44025</v>
      </c>
      <c r="O57" s="190"/>
      <c r="P57" s="191" t="s">
        <v>459</v>
      </c>
      <c r="Q57" s="190"/>
      <c r="R57" s="191"/>
      <c r="S57" s="294"/>
      <c r="T57" s="300"/>
      <c r="U57" s="306"/>
      <c r="V57" s="308"/>
      <c r="W57" s="248"/>
      <c r="X57" s="342"/>
      <c r="Y57" s="337"/>
      <c r="Z57" s="123"/>
      <c r="AA57" s="83"/>
      <c r="AB57" s="123"/>
      <c r="AC57" s="83"/>
      <c r="AD57" s="123"/>
      <c r="AE57" s="83"/>
      <c r="AF57" s="123"/>
      <c r="AG57" s="243"/>
      <c r="AH57" s="33"/>
      <c r="AI57" s="245"/>
      <c r="AJ57" s="125"/>
      <c r="AK57" s="92"/>
      <c r="AL57" s="126"/>
      <c r="AM57" s="91"/>
      <c r="AN57" s="91"/>
      <c r="AO57" s="197">
        <f t="shared" si="3"/>
        <v>0</v>
      </c>
      <c r="AP57" s="126"/>
      <c r="AQ57" s="217"/>
      <c r="AR57" s="201"/>
      <c r="AS57" s="266"/>
      <c r="AT57" s="94"/>
      <c r="AU57" s="84"/>
      <c r="AV57" s="80"/>
      <c r="AW57" s="81"/>
      <c r="AX57" s="77"/>
      <c r="AY57" s="107"/>
      <c r="AZ57" s="220">
        <f t="shared" si="0"/>
        <v>0</v>
      </c>
      <c r="BA57" s="220">
        <f t="shared" si="1"/>
        <v>0</v>
      </c>
    </row>
    <row r="58" spans="1:53" ht="50.1" customHeight="1" x14ac:dyDescent="0.25">
      <c r="A58" s="17">
        <f t="shared" si="2"/>
        <v>44</v>
      </c>
      <c r="B58" s="229"/>
      <c r="C58" s="222"/>
      <c r="D58" s="112"/>
      <c r="E58" s="100"/>
      <c r="F58" s="95"/>
      <c r="G58" s="114"/>
      <c r="H58" s="96"/>
      <c r="I58" s="97"/>
      <c r="J58" s="189"/>
      <c r="K58" s="133"/>
      <c r="L58" s="134"/>
      <c r="M58" s="334"/>
      <c r="N58" s="343">
        <v>44042</v>
      </c>
      <c r="O58" s="192"/>
      <c r="P58" s="191"/>
      <c r="Q58" s="192"/>
      <c r="R58" s="191"/>
      <c r="S58" s="295" t="s">
        <v>459</v>
      </c>
      <c r="T58" s="301" t="s">
        <v>731</v>
      </c>
      <c r="U58" s="306"/>
      <c r="V58" s="308"/>
      <c r="W58" s="249"/>
      <c r="X58" s="344"/>
      <c r="Y58" s="337"/>
      <c r="Z58" s="33"/>
      <c r="AA58" s="83"/>
      <c r="AB58" s="33"/>
      <c r="AC58" s="83"/>
      <c r="AD58" s="33"/>
      <c r="AE58" s="83"/>
      <c r="AF58" s="33"/>
      <c r="AG58" s="244"/>
      <c r="AH58" s="83"/>
      <c r="AI58" s="246"/>
      <c r="AJ58" s="102"/>
      <c r="AK58" s="92"/>
      <c r="AL58" s="91"/>
      <c r="AM58" s="92"/>
      <c r="AN58" s="351"/>
      <c r="AO58" s="197">
        <f t="shared" si="3"/>
        <v>0</v>
      </c>
      <c r="AP58" s="91"/>
      <c r="AQ58" s="217"/>
      <c r="AR58" s="196"/>
      <c r="AS58" s="265"/>
      <c r="AT58" s="94"/>
      <c r="AU58" s="84"/>
      <c r="AV58" s="136"/>
      <c r="AW58" s="81"/>
      <c r="AX58" s="137"/>
      <c r="AY58" s="138"/>
      <c r="AZ58" s="220">
        <f t="shared" si="0"/>
        <v>0</v>
      </c>
      <c r="BA58" s="220">
        <f t="shared" si="1"/>
        <v>0</v>
      </c>
    </row>
    <row r="59" spans="1:53" ht="50.1" customHeight="1" x14ac:dyDescent="0.25">
      <c r="A59" s="17">
        <f t="shared" si="2"/>
        <v>45</v>
      </c>
      <c r="B59" s="228"/>
      <c r="C59" s="221"/>
      <c r="D59" s="88"/>
      <c r="E59" s="128"/>
      <c r="F59" s="183"/>
      <c r="G59" s="130"/>
      <c r="H59" s="131"/>
      <c r="I59" s="132"/>
      <c r="J59" s="98"/>
      <c r="K59" s="101"/>
      <c r="L59" s="124"/>
      <c r="M59" s="333"/>
      <c r="N59" s="341">
        <v>44034</v>
      </c>
      <c r="O59" s="190"/>
      <c r="P59" s="191"/>
      <c r="Q59" s="190"/>
      <c r="R59" s="191"/>
      <c r="S59" s="294" t="s">
        <v>459</v>
      </c>
      <c r="T59" s="300" t="s">
        <v>735</v>
      </c>
      <c r="U59" s="306" t="s">
        <v>459</v>
      </c>
      <c r="V59" s="308" t="s">
        <v>736</v>
      </c>
      <c r="W59" s="248"/>
      <c r="X59" s="342"/>
      <c r="Y59" s="337"/>
      <c r="Z59" s="123"/>
      <c r="AA59" s="83"/>
      <c r="AB59" s="123"/>
      <c r="AC59" s="83"/>
      <c r="AD59" s="123"/>
      <c r="AE59" s="83"/>
      <c r="AF59" s="123"/>
      <c r="AG59" s="243"/>
      <c r="AH59" s="33"/>
      <c r="AI59" s="245"/>
      <c r="AJ59" s="125"/>
      <c r="AK59" s="92"/>
      <c r="AL59" s="126"/>
      <c r="AM59" s="91"/>
      <c r="AN59" s="91"/>
      <c r="AO59" s="197">
        <f t="shared" si="3"/>
        <v>0</v>
      </c>
      <c r="AP59" s="126"/>
      <c r="AQ59" s="217"/>
      <c r="AR59" s="201"/>
      <c r="AS59" s="266"/>
      <c r="AT59" s="94"/>
      <c r="AU59" s="84"/>
      <c r="AV59" s="80"/>
      <c r="AW59" s="81"/>
      <c r="AX59" s="77"/>
      <c r="AY59" s="107" t="s">
        <v>737</v>
      </c>
      <c r="AZ59" s="220">
        <f t="shared" si="0"/>
        <v>0</v>
      </c>
      <c r="BA59" s="220">
        <f t="shared" si="1"/>
        <v>0</v>
      </c>
    </row>
    <row r="60" spans="1:53" ht="50.1" customHeight="1" x14ac:dyDescent="0.25">
      <c r="A60" s="17">
        <f t="shared" si="2"/>
        <v>46</v>
      </c>
      <c r="B60" s="229"/>
      <c r="C60" s="222"/>
      <c r="D60" s="112"/>
      <c r="E60" s="100"/>
      <c r="F60" s="95"/>
      <c r="G60" s="114"/>
      <c r="H60" s="96"/>
      <c r="I60" s="97"/>
      <c r="J60" s="189"/>
      <c r="K60" s="133"/>
      <c r="L60" s="134"/>
      <c r="M60" s="334"/>
      <c r="N60" s="343">
        <v>44026</v>
      </c>
      <c r="O60" s="193"/>
      <c r="P60" s="191"/>
      <c r="Q60" s="193"/>
      <c r="R60" s="191"/>
      <c r="S60" s="296"/>
      <c r="T60" s="302"/>
      <c r="U60" s="306"/>
      <c r="V60" s="308"/>
      <c r="W60" s="249"/>
      <c r="X60" s="345"/>
      <c r="Y60" s="337"/>
      <c r="Z60" s="33"/>
      <c r="AA60" s="83"/>
      <c r="AB60" s="33"/>
      <c r="AC60" s="83"/>
      <c r="AD60" s="33"/>
      <c r="AE60" s="83"/>
      <c r="AF60" s="33"/>
      <c r="AG60" s="244"/>
      <c r="AH60" s="83"/>
      <c r="AI60" s="246"/>
      <c r="AJ60" s="102"/>
      <c r="AK60" s="92"/>
      <c r="AL60" s="91"/>
      <c r="AM60" s="92"/>
      <c r="AN60" s="351"/>
      <c r="AO60" s="197">
        <f t="shared" si="3"/>
        <v>0</v>
      </c>
      <c r="AP60" s="91"/>
      <c r="AQ60" s="217"/>
      <c r="AR60" s="196"/>
      <c r="AS60" s="265"/>
      <c r="AT60" s="94"/>
      <c r="AU60" s="84"/>
      <c r="AV60" s="136"/>
      <c r="AW60" s="81"/>
      <c r="AX60" s="137"/>
      <c r="AY60" s="138"/>
      <c r="AZ60" s="220">
        <f t="shared" si="0"/>
        <v>0</v>
      </c>
      <c r="BA60" s="220">
        <f t="shared" si="1"/>
        <v>0</v>
      </c>
    </row>
    <row r="61" spans="1:53" ht="50.1" customHeight="1" x14ac:dyDescent="0.25">
      <c r="A61" s="17">
        <f t="shared" si="2"/>
        <v>47</v>
      </c>
      <c r="B61" s="228"/>
      <c r="C61" s="221"/>
      <c r="D61" s="88"/>
      <c r="E61" s="128"/>
      <c r="F61" s="183"/>
      <c r="G61" s="130"/>
      <c r="H61" s="131"/>
      <c r="I61" s="132"/>
      <c r="J61" s="98"/>
      <c r="K61" s="101"/>
      <c r="L61" s="124"/>
      <c r="M61" s="333"/>
      <c r="N61" s="341">
        <v>44019</v>
      </c>
      <c r="O61" s="190"/>
      <c r="P61" s="191"/>
      <c r="Q61" s="190"/>
      <c r="R61" s="191"/>
      <c r="S61" s="294" t="s">
        <v>459</v>
      </c>
      <c r="T61" s="300" t="s">
        <v>722</v>
      </c>
      <c r="U61" s="306"/>
      <c r="V61" s="308"/>
      <c r="W61" s="248"/>
      <c r="X61" s="342"/>
      <c r="Y61" s="336"/>
      <c r="Z61" s="123"/>
      <c r="AA61" s="33"/>
      <c r="AB61" s="123"/>
      <c r="AC61" s="33"/>
      <c r="AD61" s="123"/>
      <c r="AE61" s="33"/>
      <c r="AF61" s="123"/>
      <c r="AG61" s="243"/>
      <c r="AH61" s="33"/>
      <c r="AI61" s="245"/>
      <c r="AJ61" s="125"/>
      <c r="AK61" s="91"/>
      <c r="AL61" s="126"/>
      <c r="AM61" s="91"/>
      <c r="AN61" s="91"/>
      <c r="AO61" s="197">
        <f t="shared" si="3"/>
        <v>0</v>
      </c>
      <c r="AP61" s="126"/>
      <c r="AQ61" s="217"/>
      <c r="AR61" s="201"/>
      <c r="AS61" s="266"/>
      <c r="AT61" s="94"/>
      <c r="AU61" s="84"/>
      <c r="AV61" s="80"/>
      <c r="AW61" s="81"/>
      <c r="AX61" s="77"/>
      <c r="AY61" s="107"/>
      <c r="AZ61" s="220">
        <f t="shared" si="0"/>
        <v>0</v>
      </c>
      <c r="BA61" s="220">
        <f t="shared" si="1"/>
        <v>0</v>
      </c>
    </row>
    <row r="62" spans="1:53" ht="50.1" customHeight="1" x14ac:dyDescent="0.25">
      <c r="A62" s="17">
        <f t="shared" si="2"/>
        <v>48</v>
      </c>
      <c r="B62" s="229"/>
      <c r="C62" s="222"/>
      <c r="D62" s="112"/>
      <c r="E62" s="100"/>
      <c r="F62" s="95"/>
      <c r="G62" s="114"/>
      <c r="H62" s="96"/>
      <c r="I62" s="97"/>
      <c r="J62" s="189"/>
      <c r="K62" s="133"/>
      <c r="L62" s="134"/>
      <c r="M62" s="334"/>
      <c r="N62" s="343">
        <v>44035</v>
      </c>
      <c r="O62" s="192"/>
      <c r="P62" s="191"/>
      <c r="Q62" s="192"/>
      <c r="R62" s="191"/>
      <c r="S62" s="295"/>
      <c r="T62" s="301"/>
      <c r="U62" s="306" t="s">
        <v>459</v>
      </c>
      <c r="V62" s="308" t="s">
        <v>745</v>
      </c>
      <c r="W62" s="249"/>
      <c r="X62" s="345"/>
      <c r="Y62" s="337"/>
      <c r="Z62" s="33"/>
      <c r="AA62" s="83"/>
      <c r="AB62" s="33"/>
      <c r="AC62" s="83"/>
      <c r="AD62" s="33"/>
      <c r="AE62" s="83"/>
      <c r="AF62" s="33"/>
      <c r="AG62" s="244"/>
      <c r="AH62" s="83"/>
      <c r="AI62" s="246"/>
      <c r="AJ62" s="102"/>
      <c r="AK62" s="92"/>
      <c r="AL62" s="91"/>
      <c r="AM62" s="92"/>
      <c r="AN62" s="351"/>
      <c r="AO62" s="197">
        <f t="shared" si="3"/>
        <v>0</v>
      </c>
      <c r="AP62" s="91"/>
      <c r="AQ62" s="217"/>
      <c r="AR62" s="196"/>
      <c r="AS62" s="265"/>
      <c r="AT62" s="94"/>
      <c r="AU62" s="84"/>
      <c r="AV62" s="136"/>
      <c r="AW62" s="81"/>
      <c r="AX62" s="137"/>
      <c r="AY62" s="138"/>
      <c r="AZ62" s="220">
        <f t="shared" si="0"/>
        <v>0</v>
      </c>
      <c r="BA62" s="220">
        <f t="shared" si="1"/>
        <v>0</v>
      </c>
    </row>
    <row r="63" spans="1:53" ht="50.1" customHeight="1" x14ac:dyDescent="0.25">
      <c r="A63" s="17">
        <f t="shared" si="2"/>
        <v>49</v>
      </c>
      <c r="B63" s="228"/>
      <c r="C63" s="221"/>
      <c r="D63" s="88"/>
      <c r="E63" s="128"/>
      <c r="F63" s="183"/>
      <c r="G63" s="130"/>
      <c r="H63" s="131"/>
      <c r="I63" s="132"/>
      <c r="J63" s="98"/>
      <c r="K63" s="101"/>
      <c r="L63" s="124"/>
      <c r="M63" s="333"/>
      <c r="N63" s="341">
        <v>44028</v>
      </c>
      <c r="O63" s="190"/>
      <c r="P63" s="191"/>
      <c r="Q63" s="190"/>
      <c r="R63" s="191"/>
      <c r="S63" s="294" t="s">
        <v>472</v>
      </c>
      <c r="T63" s="300" t="s">
        <v>707</v>
      </c>
      <c r="U63" s="306"/>
      <c r="V63" s="308"/>
      <c r="W63" s="248"/>
      <c r="X63" s="345"/>
      <c r="Y63" s="337"/>
      <c r="Z63" s="123"/>
      <c r="AA63" s="83"/>
      <c r="AB63" s="123"/>
      <c r="AC63" s="83"/>
      <c r="AD63" s="123"/>
      <c r="AE63" s="83"/>
      <c r="AF63" s="123"/>
      <c r="AG63" s="243"/>
      <c r="AH63" s="123"/>
      <c r="AI63" s="245"/>
      <c r="AJ63" s="198"/>
      <c r="AK63" s="92"/>
      <c r="AL63" s="126"/>
      <c r="AM63" s="91"/>
      <c r="AN63" s="91"/>
      <c r="AO63" s="197">
        <f t="shared" si="3"/>
        <v>0</v>
      </c>
      <c r="AP63" s="126"/>
      <c r="AQ63" s="217"/>
      <c r="AR63" s="201"/>
      <c r="AS63" s="266"/>
      <c r="AT63" s="94"/>
      <c r="AU63" s="84"/>
      <c r="AV63" s="80"/>
      <c r="AW63" s="81"/>
      <c r="AX63" s="77"/>
      <c r="AY63" s="107"/>
      <c r="AZ63" s="220">
        <f t="shared" si="0"/>
        <v>0</v>
      </c>
      <c r="BA63" s="220">
        <f t="shared" si="1"/>
        <v>0</v>
      </c>
    </row>
    <row r="64" spans="1:53" ht="50.1" customHeight="1" x14ac:dyDescent="0.25">
      <c r="A64" s="17">
        <f t="shared" si="2"/>
        <v>50</v>
      </c>
      <c r="B64" s="229"/>
      <c r="C64" s="222"/>
      <c r="D64" s="112"/>
      <c r="E64" s="100"/>
      <c r="F64" s="95"/>
      <c r="G64" s="114"/>
      <c r="H64" s="96"/>
      <c r="I64" s="97"/>
      <c r="J64" s="189"/>
      <c r="K64" s="133"/>
      <c r="L64" s="134"/>
      <c r="M64" s="334"/>
      <c r="N64" s="343">
        <v>44015</v>
      </c>
      <c r="O64" s="192"/>
      <c r="P64" s="191"/>
      <c r="Q64" s="192"/>
      <c r="R64" s="191"/>
      <c r="S64" s="295"/>
      <c r="T64" s="301"/>
      <c r="U64" s="306"/>
      <c r="V64" s="308"/>
      <c r="W64" s="249" t="s">
        <v>472</v>
      </c>
      <c r="X64" s="369">
        <v>44015</v>
      </c>
      <c r="Y64" s="337" t="s">
        <v>472</v>
      </c>
      <c r="Z64" s="33"/>
      <c r="AA64" s="83" t="s">
        <v>472</v>
      </c>
      <c r="AB64" s="33"/>
      <c r="AC64" s="83"/>
      <c r="AD64" s="33"/>
      <c r="AE64" s="83"/>
      <c r="AF64" s="33" t="s">
        <v>472</v>
      </c>
      <c r="AG64" s="244" t="s">
        <v>779</v>
      </c>
      <c r="AH64" s="83"/>
      <c r="AI64" s="246"/>
      <c r="AJ64" s="195">
        <v>990.41</v>
      </c>
      <c r="AK64" s="92"/>
      <c r="AL64" s="91"/>
      <c r="AM64" s="92">
        <v>444.08</v>
      </c>
      <c r="AN64" s="351"/>
      <c r="AO64" s="197">
        <f t="shared" si="3"/>
        <v>546.32999999999993</v>
      </c>
      <c r="AP64" s="91"/>
      <c r="AQ64" s="217"/>
      <c r="AR64" s="196"/>
      <c r="AS64" s="265"/>
      <c r="AT64" s="94"/>
      <c r="AU64" s="84"/>
      <c r="AV64" s="136"/>
      <c r="AW64" s="81"/>
      <c r="AX64" s="137"/>
      <c r="AY64" s="138"/>
      <c r="AZ64" s="220">
        <f t="shared" si="0"/>
        <v>0</v>
      </c>
      <c r="BA64" s="220">
        <f t="shared" si="1"/>
        <v>0</v>
      </c>
    </row>
    <row r="65" spans="1:53" ht="50.1" customHeight="1" x14ac:dyDescent="0.25">
      <c r="A65" s="17">
        <f t="shared" si="2"/>
        <v>51</v>
      </c>
      <c r="B65" s="228"/>
      <c r="C65" s="221"/>
      <c r="D65" s="88"/>
      <c r="E65" s="128"/>
      <c r="F65" s="183"/>
      <c r="G65" s="130"/>
      <c r="H65" s="131"/>
      <c r="I65" s="132"/>
      <c r="J65" s="98"/>
      <c r="K65" s="101"/>
      <c r="L65" s="124"/>
      <c r="M65" s="333"/>
      <c r="N65" s="341">
        <v>44041</v>
      </c>
      <c r="O65" s="190"/>
      <c r="P65" s="191"/>
      <c r="Q65" s="190"/>
      <c r="R65" s="191"/>
      <c r="S65" s="294"/>
      <c r="T65" s="300"/>
      <c r="U65" s="306"/>
      <c r="V65" s="308"/>
      <c r="W65" s="248"/>
      <c r="X65" s="342"/>
      <c r="Y65" s="337"/>
      <c r="Z65" s="123"/>
      <c r="AA65" s="83"/>
      <c r="AB65" s="123"/>
      <c r="AC65" s="83"/>
      <c r="AD65" s="123"/>
      <c r="AE65" s="83"/>
      <c r="AF65" s="123"/>
      <c r="AG65" s="243"/>
      <c r="AH65" s="33"/>
      <c r="AI65" s="245"/>
      <c r="AJ65" s="198"/>
      <c r="AK65" s="92"/>
      <c r="AL65" s="126"/>
      <c r="AM65" s="91"/>
      <c r="AN65" s="91"/>
      <c r="AO65" s="197">
        <f t="shared" si="3"/>
        <v>0</v>
      </c>
      <c r="AP65" s="126"/>
      <c r="AQ65" s="217"/>
      <c r="AR65" s="201"/>
      <c r="AS65" s="266"/>
      <c r="AT65" s="94"/>
      <c r="AU65" s="84"/>
      <c r="AV65" s="80"/>
      <c r="AW65" s="81"/>
      <c r="AX65" s="77"/>
      <c r="AY65" s="107"/>
      <c r="AZ65" s="220">
        <f t="shared" si="0"/>
        <v>0</v>
      </c>
      <c r="BA65" s="220">
        <f t="shared" si="1"/>
        <v>0</v>
      </c>
    </row>
    <row r="66" spans="1:53" ht="50.1" customHeight="1" x14ac:dyDescent="0.25">
      <c r="A66" s="17">
        <f t="shared" si="2"/>
        <v>52</v>
      </c>
      <c r="B66" s="229"/>
      <c r="C66" s="222"/>
      <c r="D66" s="112"/>
      <c r="E66" s="100"/>
      <c r="F66" s="95"/>
      <c r="G66" s="114"/>
      <c r="H66" s="96"/>
      <c r="I66" s="97"/>
      <c r="J66" s="189"/>
      <c r="K66" s="133"/>
      <c r="L66" s="134"/>
      <c r="M66" s="334"/>
      <c r="N66" s="343"/>
      <c r="O66" s="192"/>
      <c r="P66" s="191"/>
      <c r="Q66" s="192"/>
      <c r="R66" s="191"/>
      <c r="S66" s="295"/>
      <c r="T66" s="301"/>
      <c r="U66" s="306"/>
      <c r="V66" s="308"/>
      <c r="W66" s="249"/>
      <c r="X66" s="344"/>
      <c r="Y66" s="337"/>
      <c r="Z66" s="33"/>
      <c r="AA66" s="83"/>
      <c r="AB66" s="33"/>
      <c r="AC66" s="83"/>
      <c r="AD66" s="33"/>
      <c r="AE66" s="83"/>
      <c r="AF66" s="33"/>
      <c r="AG66" s="244"/>
      <c r="AH66" s="83"/>
      <c r="AI66" s="246"/>
      <c r="AJ66" s="102"/>
      <c r="AK66" s="92"/>
      <c r="AL66" s="91"/>
      <c r="AM66" s="92"/>
      <c r="AN66" s="351"/>
      <c r="AO66" s="197">
        <f t="shared" si="3"/>
        <v>0</v>
      </c>
      <c r="AP66" s="91"/>
      <c r="AQ66" s="217"/>
      <c r="AR66" s="196"/>
      <c r="AS66" s="265"/>
      <c r="AT66" s="94"/>
      <c r="AU66" s="84"/>
      <c r="AV66" s="136"/>
      <c r="AW66" s="81"/>
      <c r="AX66" s="137"/>
      <c r="AY66" s="138"/>
      <c r="AZ66" s="220">
        <f t="shared" si="0"/>
        <v>0</v>
      </c>
      <c r="BA66" s="220">
        <f t="shared" si="1"/>
        <v>0</v>
      </c>
    </row>
    <row r="67" spans="1:53" ht="50.1" customHeight="1" x14ac:dyDescent="0.25">
      <c r="A67" s="17">
        <f t="shared" si="2"/>
        <v>53</v>
      </c>
      <c r="B67" s="228"/>
      <c r="C67" s="221"/>
      <c r="D67" s="88"/>
      <c r="E67" s="128"/>
      <c r="F67" s="183"/>
      <c r="G67" s="130"/>
      <c r="H67" s="131"/>
      <c r="I67" s="132"/>
      <c r="J67" s="98"/>
      <c r="K67" s="101"/>
      <c r="L67" s="124"/>
      <c r="M67" s="333"/>
      <c r="N67" s="341">
        <v>44021</v>
      </c>
      <c r="O67" s="190"/>
      <c r="P67" s="191" t="s">
        <v>472</v>
      </c>
      <c r="Q67" s="190"/>
      <c r="R67" s="191"/>
      <c r="S67" s="294"/>
      <c r="T67" s="300"/>
      <c r="U67" s="306"/>
      <c r="V67" s="308"/>
      <c r="W67" s="248"/>
      <c r="X67" s="342"/>
      <c r="Y67" s="337"/>
      <c r="Z67" s="123"/>
      <c r="AA67" s="83"/>
      <c r="AB67" s="123"/>
      <c r="AC67" s="83"/>
      <c r="AD67" s="123"/>
      <c r="AE67" s="83"/>
      <c r="AF67" s="123"/>
      <c r="AG67" s="243"/>
      <c r="AH67" s="33"/>
      <c r="AI67" s="245"/>
      <c r="AJ67" s="125"/>
      <c r="AK67" s="92"/>
      <c r="AL67" s="126"/>
      <c r="AM67" s="91"/>
      <c r="AN67" s="91"/>
      <c r="AO67" s="197">
        <f t="shared" si="3"/>
        <v>0</v>
      </c>
      <c r="AP67" s="126"/>
      <c r="AQ67" s="217"/>
      <c r="AR67" s="201"/>
      <c r="AS67" s="266"/>
      <c r="AT67" s="94"/>
      <c r="AU67" s="84"/>
      <c r="AV67" s="80"/>
      <c r="AW67" s="81"/>
      <c r="AX67" s="77"/>
      <c r="AY67" s="107"/>
      <c r="AZ67" s="220">
        <f t="shared" si="0"/>
        <v>0</v>
      </c>
      <c r="BA67" s="220">
        <f t="shared" si="1"/>
        <v>0</v>
      </c>
    </row>
    <row r="68" spans="1:53" ht="50.1" customHeight="1" x14ac:dyDescent="0.25">
      <c r="A68" s="17">
        <f t="shared" si="2"/>
        <v>54</v>
      </c>
      <c r="B68" s="229"/>
      <c r="C68" s="222"/>
      <c r="D68" s="112"/>
      <c r="E68" s="100"/>
      <c r="F68" s="95"/>
      <c r="G68" s="114"/>
      <c r="H68" s="96"/>
      <c r="I68" s="97"/>
      <c r="J68" s="189"/>
      <c r="K68" s="133"/>
      <c r="L68" s="134"/>
      <c r="M68" s="334"/>
      <c r="N68" s="343"/>
      <c r="O68" s="193"/>
      <c r="P68" s="191"/>
      <c r="Q68" s="193"/>
      <c r="R68" s="191"/>
      <c r="S68" s="294"/>
      <c r="T68" s="300"/>
      <c r="U68" s="306"/>
      <c r="V68" s="308"/>
      <c r="W68" s="249"/>
      <c r="X68" s="344"/>
      <c r="Y68" s="337"/>
      <c r="Z68" s="33"/>
      <c r="AA68" s="83"/>
      <c r="AB68" s="33"/>
      <c r="AC68" s="83"/>
      <c r="AD68" s="33"/>
      <c r="AE68" s="83"/>
      <c r="AF68" s="33"/>
      <c r="AG68" s="244"/>
      <c r="AH68" s="83"/>
      <c r="AI68" s="246"/>
      <c r="AJ68" s="102"/>
      <c r="AK68" s="92"/>
      <c r="AL68" s="91"/>
      <c r="AM68" s="92"/>
      <c r="AN68" s="351"/>
      <c r="AO68" s="197">
        <f t="shared" si="3"/>
        <v>0</v>
      </c>
      <c r="AP68" s="91"/>
      <c r="AQ68" s="217"/>
      <c r="AR68" s="196"/>
      <c r="AS68" s="265"/>
      <c r="AT68" s="94"/>
      <c r="AU68" s="84"/>
      <c r="AV68" s="136"/>
      <c r="AW68" s="81"/>
      <c r="AX68" s="137"/>
      <c r="AY68" s="138"/>
      <c r="AZ68" s="220">
        <f t="shared" si="0"/>
        <v>0</v>
      </c>
      <c r="BA68" s="220">
        <f t="shared" si="1"/>
        <v>0</v>
      </c>
    </row>
    <row r="69" spans="1:53" ht="50.1" customHeight="1" x14ac:dyDescent="0.25">
      <c r="A69" s="17">
        <f t="shared" si="2"/>
        <v>55</v>
      </c>
      <c r="B69" s="228"/>
      <c r="C69" s="221"/>
      <c r="D69" s="88"/>
      <c r="E69" s="128"/>
      <c r="F69" s="183"/>
      <c r="G69" s="130"/>
      <c r="H69" s="131"/>
      <c r="I69" s="132"/>
      <c r="J69" s="98"/>
      <c r="K69" s="101"/>
      <c r="L69" s="124"/>
      <c r="M69" s="333"/>
      <c r="N69" s="341">
        <v>44019</v>
      </c>
      <c r="O69" s="190"/>
      <c r="P69" s="191"/>
      <c r="Q69" s="190"/>
      <c r="R69" s="191"/>
      <c r="S69" s="294"/>
      <c r="T69" s="300"/>
      <c r="U69" s="306"/>
      <c r="V69" s="308"/>
      <c r="W69" s="248"/>
      <c r="X69" s="342"/>
      <c r="Y69" s="337"/>
      <c r="Z69" s="123"/>
      <c r="AA69" s="83"/>
      <c r="AB69" s="123"/>
      <c r="AC69" s="83"/>
      <c r="AD69" s="123"/>
      <c r="AE69" s="83"/>
      <c r="AF69" s="123"/>
      <c r="AG69" s="243"/>
      <c r="AH69" s="33"/>
      <c r="AI69" s="245"/>
      <c r="AJ69" s="125"/>
      <c r="AK69" s="92"/>
      <c r="AL69" s="126"/>
      <c r="AM69" s="91"/>
      <c r="AN69" s="91"/>
      <c r="AO69" s="197">
        <f t="shared" si="3"/>
        <v>0</v>
      </c>
      <c r="AP69" s="126"/>
      <c r="AQ69" s="217"/>
      <c r="AR69" s="201"/>
      <c r="AS69" s="266"/>
      <c r="AT69" s="94"/>
      <c r="AU69" s="84"/>
      <c r="AV69" s="80"/>
      <c r="AW69" s="81"/>
      <c r="AX69" s="77"/>
      <c r="AY69" s="107"/>
      <c r="AZ69" s="220">
        <f t="shared" si="0"/>
        <v>0</v>
      </c>
      <c r="BA69" s="220">
        <f t="shared" si="1"/>
        <v>0</v>
      </c>
    </row>
    <row r="70" spans="1:53" ht="50.1" customHeight="1" x14ac:dyDescent="0.25">
      <c r="A70" s="17">
        <f t="shared" si="2"/>
        <v>56</v>
      </c>
      <c r="B70" s="229"/>
      <c r="C70" s="222"/>
      <c r="D70" s="112"/>
      <c r="E70" s="100"/>
      <c r="F70" s="95"/>
      <c r="G70" s="114"/>
      <c r="H70" s="96"/>
      <c r="I70" s="97"/>
      <c r="J70" s="189"/>
      <c r="K70" s="133"/>
      <c r="L70" s="134"/>
      <c r="M70" s="334"/>
      <c r="N70" s="343">
        <v>44041</v>
      </c>
      <c r="O70" s="192"/>
      <c r="P70" s="191"/>
      <c r="Q70" s="192"/>
      <c r="R70" s="191"/>
      <c r="S70" s="295"/>
      <c r="T70" s="301"/>
      <c r="U70" s="306"/>
      <c r="V70" s="308"/>
      <c r="W70" s="249"/>
      <c r="X70" s="344"/>
      <c r="Y70" s="337"/>
      <c r="Z70" s="33"/>
      <c r="AA70" s="83"/>
      <c r="AB70" s="33"/>
      <c r="AC70" s="83"/>
      <c r="AD70" s="33"/>
      <c r="AE70" s="83"/>
      <c r="AF70" s="33"/>
      <c r="AG70" s="244"/>
      <c r="AH70" s="83"/>
      <c r="AI70" s="246"/>
      <c r="AJ70" s="102"/>
      <c r="AK70" s="92"/>
      <c r="AL70" s="91"/>
      <c r="AM70" s="92"/>
      <c r="AN70" s="351"/>
      <c r="AO70" s="197">
        <f t="shared" si="3"/>
        <v>0</v>
      </c>
      <c r="AP70" s="91"/>
      <c r="AQ70" s="217"/>
      <c r="AR70" s="196"/>
      <c r="AS70" s="265"/>
      <c r="AT70" s="94"/>
      <c r="AU70" s="84"/>
      <c r="AV70" s="136"/>
      <c r="AW70" s="81"/>
      <c r="AX70" s="137"/>
      <c r="AY70" s="138"/>
      <c r="AZ70" s="220">
        <f t="shared" si="0"/>
        <v>0</v>
      </c>
      <c r="BA70" s="220">
        <f t="shared" si="1"/>
        <v>0</v>
      </c>
    </row>
    <row r="71" spans="1:53" ht="50.1" customHeight="1" x14ac:dyDescent="0.25">
      <c r="A71" s="17">
        <f t="shared" si="2"/>
        <v>57</v>
      </c>
      <c r="B71" s="228"/>
      <c r="C71" s="221"/>
      <c r="D71" s="88"/>
      <c r="E71" s="128"/>
      <c r="F71" s="183"/>
      <c r="G71" s="130"/>
      <c r="H71" s="131"/>
      <c r="I71" s="132"/>
      <c r="J71" s="98"/>
      <c r="K71" s="101"/>
      <c r="L71" s="124"/>
      <c r="M71" s="333"/>
      <c r="N71" s="341"/>
      <c r="O71" s="190"/>
      <c r="P71" s="191"/>
      <c r="Q71" s="190"/>
      <c r="R71" s="191"/>
      <c r="S71" s="294"/>
      <c r="T71" s="300"/>
      <c r="U71" s="306"/>
      <c r="V71" s="308"/>
      <c r="W71" s="248"/>
      <c r="X71" s="342"/>
      <c r="Y71" s="337"/>
      <c r="Z71" s="123"/>
      <c r="AA71" s="83"/>
      <c r="AB71" s="123"/>
      <c r="AC71" s="83"/>
      <c r="AD71" s="123"/>
      <c r="AE71" s="83"/>
      <c r="AF71" s="123"/>
      <c r="AG71" s="243"/>
      <c r="AH71" s="33"/>
      <c r="AI71" s="245"/>
      <c r="AJ71" s="125"/>
      <c r="AK71" s="92"/>
      <c r="AL71" s="126"/>
      <c r="AM71" s="91"/>
      <c r="AN71" s="91"/>
      <c r="AO71" s="197">
        <f t="shared" si="3"/>
        <v>0</v>
      </c>
      <c r="AP71" s="126"/>
      <c r="AQ71" s="217"/>
      <c r="AR71" s="201"/>
      <c r="AS71" s="266"/>
      <c r="AT71" s="94"/>
      <c r="AU71" s="84"/>
      <c r="AV71" s="80"/>
      <c r="AW71" s="81"/>
      <c r="AX71" s="77"/>
      <c r="AY71" s="107"/>
      <c r="AZ71" s="220">
        <f t="shared" si="0"/>
        <v>0</v>
      </c>
      <c r="BA71" s="220">
        <f t="shared" si="1"/>
        <v>0</v>
      </c>
    </row>
    <row r="72" spans="1:53" ht="50.1" customHeight="1" x14ac:dyDescent="0.25">
      <c r="A72" s="17">
        <f t="shared" si="2"/>
        <v>58</v>
      </c>
      <c r="B72" s="229"/>
      <c r="C72" s="222"/>
      <c r="D72" s="112"/>
      <c r="E72" s="100"/>
      <c r="F72" s="95"/>
      <c r="G72" s="114"/>
      <c r="H72" s="96"/>
      <c r="I72" s="97"/>
      <c r="J72" s="189"/>
      <c r="K72" s="133"/>
      <c r="L72" s="134"/>
      <c r="M72" s="334"/>
      <c r="N72" s="343"/>
      <c r="O72" s="192"/>
      <c r="P72" s="191"/>
      <c r="Q72" s="192"/>
      <c r="R72" s="191"/>
      <c r="S72" s="295"/>
      <c r="T72" s="301"/>
      <c r="U72" s="306"/>
      <c r="V72" s="308"/>
      <c r="W72" s="249"/>
      <c r="X72" s="344"/>
      <c r="Y72" s="337"/>
      <c r="Z72" s="33"/>
      <c r="AA72" s="83"/>
      <c r="AB72" s="33"/>
      <c r="AC72" s="83"/>
      <c r="AD72" s="33"/>
      <c r="AE72" s="83"/>
      <c r="AF72" s="33"/>
      <c r="AG72" s="244"/>
      <c r="AH72" s="83"/>
      <c r="AI72" s="246"/>
      <c r="AJ72" s="102"/>
      <c r="AK72" s="92"/>
      <c r="AL72" s="91"/>
      <c r="AM72" s="92"/>
      <c r="AN72" s="351"/>
      <c r="AO72" s="197">
        <f t="shared" si="3"/>
        <v>0</v>
      </c>
      <c r="AP72" s="91"/>
      <c r="AQ72" s="217"/>
      <c r="AR72" s="196"/>
      <c r="AS72" s="265"/>
      <c r="AT72" s="94"/>
      <c r="AU72" s="84"/>
      <c r="AV72" s="136"/>
      <c r="AW72" s="81"/>
      <c r="AX72" s="137"/>
      <c r="AY72" s="138"/>
      <c r="AZ72" s="220">
        <f t="shared" si="0"/>
        <v>0</v>
      </c>
      <c r="BA72" s="220">
        <f t="shared" si="1"/>
        <v>0</v>
      </c>
    </row>
    <row r="73" spans="1:53" ht="50.1" customHeight="1" x14ac:dyDescent="0.25">
      <c r="A73" s="17">
        <f t="shared" si="2"/>
        <v>59</v>
      </c>
      <c r="B73" s="228"/>
      <c r="C73" s="221"/>
      <c r="D73" s="88"/>
      <c r="E73" s="128"/>
      <c r="F73" s="183"/>
      <c r="G73" s="130"/>
      <c r="H73" s="131"/>
      <c r="I73" s="132"/>
      <c r="J73" s="98"/>
      <c r="K73" s="101"/>
      <c r="L73" s="387"/>
      <c r="M73" s="388"/>
      <c r="N73" s="341"/>
      <c r="O73" s="190"/>
      <c r="P73" s="191"/>
      <c r="Q73" s="190"/>
      <c r="R73" s="191"/>
      <c r="S73" s="294"/>
      <c r="T73" s="300"/>
      <c r="U73" s="306"/>
      <c r="V73" s="308"/>
      <c r="W73" s="248"/>
      <c r="X73" s="342"/>
      <c r="Y73" s="337"/>
      <c r="Z73" s="123"/>
      <c r="AA73" s="83"/>
      <c r="AB73" s="123"/>
      <c r="AC73" s="83"/>
      <c r="AD73" s="123"/>
      <c r="AE73" s="83"/>
      <c r="AF73" s="123"/>
      <c r="AG73" s="243"/>
      <c r="AH73" s="33"/>
      <c r="AI73" s="245"/>
      <c r="AJ73" s="125"/>
      <c r="AK73" s="92"/>
      <c r="AL73" s="126"/>
      <c r="AM73" s="91"/>
      <c r="AN73" s="91"/>
      <c r="AO73" s="197">
        <f t="shared" si="3"/>
        <v>0</v>
      </c>
      <c r="AP73" s="126"/>
      <c r="AQ73" s="217"/>
      <c r="AR73" s="201"/>
      <c r="AS73" s="266"/>
      <c r="AT73" s="94"/>
      <c r="AU73" s="84"/>
      <c r="AV73" s="80"/>
      <c r="AW73" s="81"/>
      <c r="AX73" s="77"/>
      <c r="AY73" s="107" t="s">
        <v>773</v>
      </c>
      <c r="AZ73" s="220">
        <f t="shared" si="0"/>
        <v>0</v>
      </c>
      <c r="BA73" s="220">
        <f t="shared" si="1"/>
        <v>0</v>
      </c>
    </row>
    <row r="74" spans="1:53" ht="50.1" customHeight="1" x14ac:dyDescent="0.25">
      <c r="A74" s="17">
        <f t="shared" si="2"/>
        <v>60</v>
      </c>
      <c r="B74" s="229"/>
      <c r="C74" s="222"/>
      <c r="D74" s="112"/>
      <c r="E74" s="100"/>
      <c r="F74" s="95"/>
      <c r="G74" s="114"/>
      <c r="H74" s="96"/>
      <c r="I74" s="97"/>
      <c r="J74" s="189"/>
      <c r="K74" s="133"/>
      <c r="L74" s="134"/>
      <c r="M74" s="334"/>
      <c r="N74" s="343"/>
      <c r="O74" s="192"/>
      <c r="P74" s="191"/>
      <c r="Q74" s="192"/>
      <c r="R74" s="191"/>
      <c r="S74" s="295"/>
      <c r="T74" s="301"/>
      <c r="U74" s="306"/>
      <c r="V74" s="308"/>
      <c r="W74" s="249"/>
      <c r="X74" s="344"/>
      <c r="Y74" s="337"/>
      <c r="Z74" s="33"/>
      <c r="AA74" s="83"/>
      <c r="AB74" s="33"/>
      <c r="AC74" s="83"/>
      <c r="AD74" s="33"/>
      <c r="AE74" s="83"/>
      <c r="AF74" s="33"/>
      <c r="AG74" s="244"/>
      <c r="AH74" s="83"/>
      <c r="AI74" s="246"/>
      <c r="AJ74" s="102"/>
      <c r="AK74" s="92"/>
      <c r="AL74" s="91"/>
      <c r="AM74" s="92"/>
      <c r="AN74" s="351"/>
      <c r="AO74" s="197">
        <f t="shared" si="3"/>
        <v>0</v>
      </c>
      <c r="AP74" s="91"/>
      <c r="AQ74" s="217"/>
      <c r="AR74" s="196"/>
      <c r="AS74" s="265"/>
      <c r="AT74" s="94"/>
      <c r="AU74" s="84"/>
      <c r="AV74" s="136"/>
      <c r="AW74" s="81"/>
      <c r="AX74" s="137"/>
      <c r="AY74" s="138"/>
      <c r="AZ74" s="220">
        <f t="shared" si="0"/>
        <v>0</v>
      </c>
      <c r="BA74" s="220">
        <f t="shared" si="1"/>
        <v>0</v>
      </c>
    </row>
    <row r="75" spans="1:53" ht="50.1" customHeight="1" x14ac:dyDescent="0.25">
      <c r="A75" s="17">
        <f t="shared" si="2"/>
        <v>61</v>
      </c>
      <c r="B75" s="228"/>
      <c r="C75" s="221"/>
      <c r="D75" s="88"/>
      <c r="E75" s="128"/>
      <c r="F75" s="183"/>
      <c r="G75" s="130"/>
      <c r="H75" s="131"/>
      <c r="I75" s="132"/>
      <c r="J75" s="98"/>
      <c r="K75" s="101"/>
      <c r="L75" s="124"/>
      <c r="M75" s="333"/>
      <c r="N75" s="341"/>
      <c r="O75" s="190"/>
      <c r="P75" s="191"/>
      <c r="Q75" s="190"/>
      <c r="R75" s="191"/>
      <c r="S75" s="294"/>
      <c r="T75" s="300"/>
      <c r="U75" s="306"/>
      <c r="V75" s="308"/>
      <c r="W75" s="248" t="s">
        <v>472</v>
      </c>
      <c r="X75" s="370">
        <v>44017</v>
      </c>
      <c r="Y75" s="337"/>
      <c r="Z75" s="123" t="s">
        <v>472</v>
      </c>
      <c r="AA75" s="83"/>
      <c r="AB75" s="123"/>
      <c r="AC75" s="83"/>
      <c r="AD75" s="123"/>
      <c r="AE75" s="83"/>
      <c r="AF75" s="123"/>
      <c r="AG75" s="243"/>
      <c r="AH75" s="33"/>
      <c r="AI75" s="245"/>
      <c r="AJ75" s="125">
        <v>316.94</v>
      </c>
      <c r="AK75" s="92"/>
      <c r="AL75" s="126"/>
      <c r="AM75" s="91">
        <v>47.84</v>
      </c>
      <c r="AN75" s="91"/>
      <c r="AO75" s="197">
        <f t="shared" si="3"/>
        <v>269.10000000000002</v>
      </c>
      <c r="AP75" s="126"/>
      <c r="AQ75" s="217"/>
      <c r="AR75" s="201" t="s">
        <v>475</v>
      </c>
      <c r="AS75" s="266"/>
      <c r="AT75" s="94"/>
      <c r="AU75" s="84"/>
      <c r="AV75" s="80"/>
      <c r="AW75" s="81"/>
      <c r="AX75" s="77"/>
      <c r="AY75" s="107"/>
      <c r="AZ75" s="220">
        <f t="shared" si="0"/>
        <v>0</v>
      </c>
      <c r="BA75" s="220">
        <f t="shared" si="1"/>
        <v>0</v>
      </c>
    </row>
    <row r="76" spans="1:53" ht="50.1" customHeight="1" x14ac:dyDescent="0.25">
      <c r="A76" s="17">
        <f t="shared" si="2"/>
        <v>62</v>
      </c>
      <c r="B76" s="229"/>
      <c r="C76" s="222"/>
      <c r="D76" s="112"/>
      <c r="E76" s="100"/>
      <c r="F76" s="95"/>
      <c r="G76" s="114"/>
      <c r="H76" s="96"/>
      <c r="I76" s="97"/>
      <c r="J76" s="189"/>
      <c r="K76" s="133"/>
      <c r="L76" s="134"/>
      <c r="M76" s="334"/>
      <c r="N76" s="343">
        <v>44014</v>
      </c>
      <c r="O76" s="192"/>
      <c r="P76" s="191"/>
      <c r="Q76" s="192"/>
      <c r="R76" s="191"/>
      <c r="S76" s="295" t="s">
        <v>472</v>
      </c>
      <c r="T76" s="301" t="s">
        <v>783</v>
      </c>
      <c r="U76" s="306"/>
      <c r="V76" s="308"/>
      <c r="W76" s="249"/>
      <c r="X76" s="344"/>
      <c r="Y76" s="337"/>
      <c r="Z76" s="33"/>
      <c r="AA76" s="83"/>
      <c r="AB76" s="33"/>
      <c r="AC76" s="83"/>
      <c r="AD76" s="33"/>
      <c r="AE76" s="83"/>
      <c r="AF76" s="33"/>
      <c r="AG76" s="244"/>
      <c r="AH76" s="83"/>
      <c r="AI76" s="246"/>
      <c r="AJ76" s="102"/>
      <c r="AK76" s="92"/>
      <c r="AL76" s="91"/>
      <c r="AM76" s="92"/>
      <c r="AN76" s="351"/>
      <c r="AO76" s="197">
        <f t="shared" si="3"/>
        <v>0</v>
      </c>
      <c r="AP76" s="91"/>
      <c r="AQ76" s="217"/>
      <c r="AR76" s="196"/>
      <c r="AS76" s="265"/>
      <c r="AT76" s="94"/>
      <c r="AU76" s="84"/>
      <c r="AV76" s="136"/>
      <c r="AW76" s="81"/>
      <c r="AX76" s="137"/>
      <c r="AY76" s="138"/>
      <c r="AZ76" s="220">
        <f t="shared" si="0"/>
        <v>0</v>
      </c>
      <c r="BA76" s="220">
        <f t="shared" si="1"/>
        <v>0</v>
      </c>
    </row>
    <row r="77" spans="1:53" ht="50.1" customHeight="1" x14ac:dyDescent="0.25">
      <c r="A77" s="17">
        <f t="shared" si="2"/>
        <v>63</v>
      </c>
      <c r="B77" s="228"/>
      <c r="C77" s="221"/>
      <c r="D77" s="88"/>
      <c r="E77" s="100"/>
      <c r="F77" s="95"/>
      <c r="G77" s="114"/>
      <c r="H77" s="96"/>
      <c r="I77" s="97"/>
      <c r="J77" s="98"/>
      <c r="K77" s="101"/>
      <c r="L77" s="124"/>
      <c r="M77" s="333"/>
      <c r="N77" s="341">
        <v>44018</v>
      </c>
      <c r="O77" s="190"/>
      <c r="P77" s="191"/>
      <c r="Q77" s="190"/>
      <c r="R77" s="191"/>
      <c r="S77" s="294" t="s">
        <v>472</v>
      </c>
      <c r="T77" s="300" t="s">
        <v>783</v>
      </c>
      <c r="U77" s="306"/>
      <c r="V77" s="308"/>
      <c r="W77" s="248"/>
      <c r="X77" s="342"/>
      <c r="Y77" s="337"/>
      <c r="Z77" s="123"/>
      <c r="AA77" s="83"/>
      <c r="AB77" s="123"/>
      <c r="AC77" s="83"/>
      <c r="AD77" s="123"/>
      <c r="AE77" s="83"/>
      <c r="AF77" s="123"/>
      <c r="AG77" s="243"/>
      <c r="AH77" s="33"/>
      <c r="AI77" s="245"/>
      <c r="AJ77" s="125"/>
      <c r="AK77" s="92"/>
      <c r="AL77" s="126"/>
      <c r="AM77" s="91"/>
      <c r="AN77" s="91"/>
      <c r="AO77" s="197">
        <f t="shared" si="3"/>
        <v>0</v>
      </c>
      <c r="AP77" s="126"/>
      <c r="AQ77" s="217"/>
      <c r="AR77" s="201"/>
      <c r="AS77" s="266"/>
      <c r="AT77" s="94"/>
      <c r="AU77" s="84"/>
      <c r="AV77" s="80"/>
      <c r="AW77" s="81"/>
      <c r="AX77" s="77"/>
      <c r="AY77" s="107"/>
      <c r="AZ77" s="220">
        <f t="shared" si="0"/>
        <v>0</v>
      </c>
      <c r="BA77" s="220">
        <f t="shared" si="1"/>
        <v>0</v>
      </c>
    </row>
    <row r="78" spans="1:53" ht="50.1" customHeight="1" x14ac:dyDescent="0.25">
      <c r="A78" s="17">
        <f t="shared" si="2"/>
        <v>64</v>
      </c>
      <c r="B78" s="229"/>
      <c r="C78" s="222"/>
      <c r="D78" s="112"/>
      <c r="E78" s="128"/>
      <c r="F78" s="183"/>
      <c r="G78" s="130"/>
      <c r="H78" s="131"/>
      <c r="I78" s="132"/>
      <c r="J78" s="189"/>
      <c r="K78" s="133"/>
      <c r="L78" s="134"/>
      <c r="M78" s="334"/>
      <c r="N78" s="343"/>
      <c r="O78" s="192"/>
      <c r="P78" s="191"/>
      <c r="Q78" s="192"/>
      <c r="R78" s="191"/>
      <c r="S78" s="295"/>
      <c r="T78" s="301"/>
      <c r="U78" s="306"/>
      <c r="V78" s="308"/>
      <c r="W78" s="249"/>
      <c r="X78" s="344"/>
      <c r="Y78" s="337"/>
      <c r="Z78" s="33"/>
      <c r="AA78" s="83"/>
      <c r="AB78" s="33"/>
      <c r="AC78" s="83"/>
      <c r="AD78" s="33"/>
      <c r="AE78" s="83"/>
      <c r="AF78" s="33"/>
      <c r="AG78" s="244"/>
      <c r="AH78" s="83"/>
      <c r="AI78" s="246"/>
      <c r="AJ78" s="102"/>
      <c r="AK78" s="92"/>
      <c r="AL78" s="91"/>
      <c r="AM78" s="92"/>
      <c r="AN78" s="351"/>
      <c r="AO78" s="197">
        <f t="shared" si="3"/>
        <v>0</v>
      </c>
      <c r="AP78" s="91"/>
      <c r="AQ78" s="217"/>
      <c r="AR78" s="196"/>
      <c r="AS78" s="265"/>
      <c r="AT78" s="94"/>
      <c r="AU78" s="84"/>
      <c r="AV78" s="136"/>
      <c r="AW78" s="81"/>
      <c r="AX78" s="137"/>
      <c r="AY78" s="138"/>
      <c r="AZ78" s="220">
        <f t="shared" si="0"/>
        <v>0</v>
      </c>
      <c r="BA78" s="220">
        <f t="shared" si="1"/>
        <v>0</v>
      </c>
    </row>
    <row r="79" spans="1:53" ht="50.1" customHeight="1" x14ac:dyDescent="0.25">
      <c r="A79" s="17">
        <f t="shared" si="2"/>
        <v>65</v>
      </c>
      <c r="B79" s="228"/>
      <c r="C79" s="221"/>
      <c r="D79" s="88"/>
      <c r="E79" s="100"/>
      <c r="F79" s="95"/>
      <c r="G79" s="114"/>
      <c r="H79" s="96"/>
      <c r="I79" s="97"/>
      <c r="J79" s="98"/>
      <c r="K79" s="101"/>
      <c r="L79" s="124"/>
      <c r="M79" s="333"/>
      <c r="N79" s="341"/>
      <c r="O79" s="190"/>
      <c r="P79" s="191"/>
      <c r="Q79" s="190"/>
      <c r="R79" s="191"/>
      <c r="S79" s="294"/>
      <c r="T79" s="300"/>
      <c r="U79" s="306"/>
      <c r="V79" s="308"/>
      <c r="W79" s="248"/>
      <c r="X79" s="342"/>
      <c r="Y79" s="337"/>
      <c r="Z79" s="123"/>
      <c r="AA79" s="83"/>
      <c r="AB79" s="123"/>
      <c r="AC79" s="83"/>
      <c r="AD79" s="123"/>
      <c r="AE79" s="83"/>
      <c r="AF79" s="123"/>
      <c r="AG79" s="243"/>
      <c r="AH79" s="33"/>
      <c r="AI79" s="245"/>
      <c r="AJ79" s="125"/>
      <c r="AK79" s="92"/>
      <c r="AL79" s="126"/>
      <c r="AM79" s="91"/>
      <c r="AN79" s="91"/>
      <c r="AO79" s="197">
        <f t="shared" si="3"/>
        <v>0</v>
      </c>
      <c r="AP79" s="126"/>
      <c r="AQ79" s="217"/>
      <c r="AR79" s="201"/>
      <c r="AS79" s="266"/>
      <c r="AT79" s="94"/>
      <c r="AU79" s="84"/>
      <c r="AV79" s="80"/>
      <c r="AW79" s="81"/>
      <c r="AX79" s="77"/>
      <c r="AY79" s="107"/>
      <c r="AZ79" s="220">
        <f t="shared" ref="AZ79:AZ142" si="4">M79-B79</f>
        <v>0</v>
      </c>
      <c r="BA79" s="220">
        <f t="shared" ref="BA79:BA142" si="5">AU79-M79</f>
        <v>0</v>
      </c>
    </row>
    <row r="80" spans="1:53" ht="50.1" customHeight="1" x14ac:dyDescent="0.25">
      <c r="A80" s="17">
        <f t="shared" ref="A80:A143" si="6">ROW(A66)</f>
        <v>66</v>
      </c>
      <c r="B80" s="229"/>
      <c r="C80" s="222"/>
      <c r="D80" s="112"/>
      <c r="E80" s="128"/>
      <c r="F80" s="183"/>
      <c r="G80" s="130"/>
      <c r="H80" s="131"/>
      <c r="I80" s="132"/>
      <c r="J80" s="189"/>
      <c r="K80" s="133"/>
      <c r="L80" s="134"/>
      <c r="M80" s="334"/>
      <c r="N80" s="343"/>
      <c r="O80" s="192"/>
      <c r="P80" s="191"/>
      <c r="Q80" s="192"/>
      <c r="R80" s="191"/>
      <c r="S80" s="295"/>
      <c r="T80" s="301"/>
      <c r="U80" s="306"/>
      <c r="V80" s="308"/>
      <c r="W80" s="249"/>
      <c r="X80" s="344"/>
      <c r="Y80" s="337"/>
      <c r="Z80" s="33"/>
      <c r="AA80" s="83"/>
      <c r="AB80" s="33"/>
      <c r="AC80" s="83"/>
      <c r="AD80" s="33"/>
      <c r="AE80" s="83"/>
      <c r="AF80" s="33"/>
      <c r="AG80" s="244"/>
      <c r="AH80" s="83"/>
      <c r="AI80" s="246"/>
      <c r="AJ80" s="195"/>
      <c r="AK80" s="92"/>
      <c r="AL80" s="91"/>
      <c r="AM80" s="92"/>
      <c r="AN80" s="351"/>
      <c r="AO80" s="197">
        <f t="shared" ref="AO80:AO143" si="7">AJ80-AK80-AL80-AM80-AN80</f>
        <v>0</v>
      </c>
      <c r="AP80" s="91"/>
      <c r="AQ80" s="217"/>
      <c r="AR80" s="196"/>
      <c r="AS80" s="265"/>
      <c r="AT80" s="94"/>
      <c r="AU80" s="84"/>
      <c r="AV80" s="136"/>
      <c r="AW80" s="81"/>
      <c r="AX80" s="137"/>
      <c r="AY80" s="138"/>
      <c r="AZ80" s="220">
        <f t="shared" si="4"/>
        <v>0</v>
      </c>
      <c r="BA80" s="220">
        <f t="shared" si="5"/>
        <v>0</v>
      </c>
    </row>
    <row r="81" spans="1:53" ht="50.1" customHeight="1" x14ac:dyDescent="0.25">
      <c r="A81" s="17">
        <f t="shared" si="6"/>
        <v>67</v>
      </c>
      <c r="B81" s="228"/>
      <c r="C81" s="221"/>
      <c r="D81" s="88"/>
      <c r="E81" s="100"/>
      <c r="F81" s="95"/>
      <c r="G81" s="114"/>
      <c r="H81" s="96"/>
      <c r="I81" s="97"/>
      <c r="J81" s="98"/>
      <c r="K81" s="101"/>
      <c r="L81" s="124"/>
      <c r="M81" s="333"/>
      <c r="N81" s="341"/>
      <c r="O81" s="190"/>
      <c r="P81" s="191"/>
      <c r="Q81" s="190"/>
      <c r="R81" s="191"/>
      <c r="S81" s="294"/>
      <c r="T81" s="300"/>
      <c r="U81" s="306"/>
      <c r="V81" s="308"/>
      <c r="W81" s="248"/>
      <c r="X81" s="345"/>
      <c r="Y81" s="337"/>
      <c r="Z81" s="123"/>
      <c r="AA81" s="83"/>
      <c r="AB81" s="123"/>
      <c r="AC81" s="83"/>
      <c r="AD81" s="123"/>
      <c r="AE81" s="83"/>
      <c r="AF81" s="123"/>
      <c r="AG81" s="243"/>
      <c r="AH81" s="123"/>
      <c r="AI81" s="245"/>
      <c r="AJ81" s="125"/>
      <c r="AK81" s="92"/>
      <c r="AL81" s="126"/>
      <c r="AM81" s="91"/>
      <c r="AN81" s="91"/>
      <c r="AO81" s="197">
        <f t="shared" si="7"/>
        <v>0</v>
      </c>
      <c r="AP81" s="126"/>
      <c r="AQ81" s="217"/>
      <c r="AR81" s="201"/>
      <c r="AS81" s="266"/>
      <c r="AT81" s="94"/>
      <c r="AU81" s="84"/>
      <c r="AV81" s="80"/>
      <c r="AW81" s="81"/>
      <c r="AX81" s="77"/>
      <c r="AY81" s="107"/>
      <c r="AZ81" s="220">
        <f t="shared" si="4"/>
        <v>0</v>
      </c>
      <c r="BA81" s="220">
        <f t="shared" si="5"/>
        <v>0</v>
      </c>
    </row>
    <row r="82" spans="1:53" ht="50.1" customHeight="1" x14ac:dyDescent="0.25">
      <c r="A82" s="17">
        <f t="shared" si="6"/>
        <v>68</v>
      </c>
      <c r="B82" s="229"/>
      <c r="C82" s="222"/>
      <c r="D82" s="112"/>
      <c r="E82" s="128"/>
      <c r="F82" s="183"/>
      <c r="G82" s="130"/>
      <c r="H82" s="131"/>
      <c r="I82" s="132"/>
      <c r="J82" s="189"/>
      <c r="K82" s="133"/>
      <c r="L82" s="134"/>
      <c r="M82" s="334"/>
      <c r="N82" s="343"/>
      <c r="O82" s="192"/>
      <c r="P82" s="191"/>
      <c r="Q82" s="192"/>
      <c r="R82" s="191"/>
      <c r="S82" s="295"/>
      <c r="T82" s="301"/>
      <c r="U82" s="306"/>
      <c r="V82" s="308"/>
      <c r="W82" s="249"/>
      <c r="X82" s="344"/>
      <c r="Y82" s="337"/>
      <c r="Z82" s="33"/>
      <c r="AA82" s="83"/>
      <c r="AB82" s="33"/>
      <c r="AC82" s="83"/>
      <c r="AD82" s="33"/>
      <c r="AE82" s="83"/>
      <c r="AF82" s="33"/>
      <c r="AG82" s="244"/>
      <c r="AH82" s="83"/>
      <c r="AI82" s="246"/>
      <c r="AJ82" s="195"/>
      <c r="AK82" s="92"/>
      <c r="AL82" s="91"/>
      <c r="AM82" s="92"/>
      <c r="AN82" s="351"/>
      <c r="AO82" s="197">
        <f t="shared" si="7"/>
        <v>0</v>
      </c>
      <c r="AP82" s="91"/>
      <c r="AQ82" s="217"/>
      <c r="AR82" s="196"/>
      <c r="AS82" s="265"/>
      <c r="AT82" s="94"/>
      <c r="AU82" s="84"/>
      <c r="AV82" s="136"/>
      <c r="AW82" s="81"/>
      <c r="AX82" s="137"/>
      <c r="AY82" s="138"/>
      <c r="AZ82" s="220">
        <f t="shared" si="4"/>
        <v>0</v>
      </c>
      <c r="BA82" s="220">
        <f t="shared" si="5"/>
        <v>0</v>
      </c>
    </row>
    <row r="83" spans="1:53" ht="50.1" customHeight="1" x14ac:dyDescent="0.25">
      <c r="A83" s="17">
        <f t="shared" si="6"/>
        <v>69</v>
      </c>
      <c r="B83" s="228"/>
      <c r="C83" s="221"/>
      <c r="D83" s="88"/>
      <c r="E83" s="100"/>
      <c r="F83" s="95"/>
      <c r="G83" s="114"/>
      <c r="H83" s="96"/>
      <c r="I83" s="97"/>
      <c r="J83" s="98"/>
      <c r="K83" s="101"/>
      <c r="L83" s="124"/>
      <c r="M83" s="333"/>
      <c r="N83" s="341"/>
      <c r="O83" s="190"/>
      <c r="P83" s="191"/>
      <c r="Q83" s="190"/>
      <c r="R83" s="191"/>
      <c r="S83" s="294"/>
      <c r="T83" s="300"/>
      <c r="U83" s="306"/>
      <c r="V83" s="308"/>
      <c r="W83" s="248"/>
      <c r="X83" s="342"/>
      <c r="Y83" s="337"/>
      <c r="Z83" s="123"/>
      <c r="AA83" s="83"/>
      <c r="AB83" s="123"/>
      <c r="AC83" s="83"/>
      <c r="AD83" s="123"/>
      <c r="AE83" s="83"/>
      <c r="AF83" s="123"/>
      <c r="AG83" s="243"/>
      <c r="AH83" s="33"/>
      <c r="AI83" s="245"/>
      <c r="AJ83" s="125"/>
      <c r="AK83" s="92"/>
      <c r="AL83" s="126"/>
      <c r="AM83" s="91"/>
      <c r="AN83" s="91"/>
      <c r="AO83" s="197">
        <f t="shared" si="7"/>
        <v>0</v>
      </c>
      <c r="AP83" s="126"/>
      <c r="AQ83" s="217"/>
      <c r="AR83" s="201"/>
      <c r="AS83" s="266"/>
      <c r="AT83" s="94"/>
      <c r="AU83" s="84"/>
      <c r="AV83" s="80"/>
      <c r="AW83" s="81"/>
      <c r="AX83" s="77"/>
      <c r="AY83" s="107"/>
      <c r="AZ83" s="220">
        <f t="shared" si="4"/>
        <v>0</v>
      </c>
      <c r="BA83" s="220">
        <f t="shared" si="5"/>
        <v>0</v>
      </c>
    </row>
    <row r="84" spans="1:53" ht="50.1" customHeight="1" x14ac:dyDescent="0.25">
      <c r="A84" s="17">
        <f t="shared" si="6"/>
        <v>70</v>
      </c>
      <c r="B84" s="229"/>
      <c r="C84" s="222"/>
      <c r="D84" s="112"/>
      <c r="E84" s="128"/>
      <c r="F84" s="183"/>
      <c r="G84" s="130"/>
      <c r="H84" s="131"/>
      <c r="I84" s="132"/>
      <c r="J84" s="189"/>
      <c r="K84" s="133"/>
      <c r="L84" s="134"/>
      <c r="M84" s="334"/>
      <c r="N84" s="343"/>
      <c r="O84" s="192"/>
      <c r="P84" s="191"/>
      <c r="Q84" s="192"/>
      <c r="R84" s="191"/>
      <c r="S84" s="295"/>
      <c r="T84" s="301"/>
      <c r="U84" s="306"/>
      <c r="V84" s="308"/>
      <c r="W84" s="249"/>
      <c r="X84" s="344"/>
      <c r="Y84" s="337"/>
      <c r="Z84" s="33"/>
      <c r="AA84" s="83"/>
      <c r="AB84" s="33"/>
      <c r="AC84" s="83"/>
      <c r="AD84" s="33"/>
      <c r="AE84" s="83"/>
      <c r="AF84" s="33"/>
      <c r="AG84" s="244"/>
      <c r="AH84" s="83"/>
      <c r="AI84" s="246"/>
      <c r="AJ84" s="102"/>
      <c r="AK84" s="92"/>
      <c r="AL84" s="91"/>
      <c r="AM84" s="92"/>
      <c r="AN84" s="351"/>
      <c r="AO84" s="197">
        <f t="shared" si="7"/>
        <v>0</v>
      </c>
      <c r="AP84" s="91"/>
      <c r="AQ84" s="217"/>
      <c r="AR84" s="196"/>
      <c r="AS84" s="265"/>
      <c r="AT84" s="94"/>
      <c r="AU84" s="84"/>
      <c r="AV84" s="136"/>
      <c r="AW84" s="81"/>
      <c r="AX84" s="137"/>
      <c r="AY84" s="138"/>
      <c r="AZ84" s="220">
        <f t="shared" si="4"/>
        <v>0</v>
      </c>
      <c r="BA84" s="220">
        <f t="shared" si="5"/>
        <v>0</v>
      </c>
    </row>
    <row r="85" spans="1:53" ht="50.1" customHeight="1" x14ac:dyDescent="0.25">
      <c r="A85" s="17">
        <f t="shared" si="6"/>
        <v>71</v>
      </c>
      <c r="B85" s="228"/>
      <c r="C85" s="221"/>
      <c r="D85" s="88"/>
      <c r="E85" s="100"/>
      <c r="F85" s="95"/>
      <c r="G85" s="114"/>
      <c r="H85" s="96"/>
      <c r="I85" s="97"/>
      <c r="J85" s="98"/>
      <c r="K85" s="101"/>
      <c r="L85" s="124"/>
      <c r="M85" s="333"/>
      <c r="N85" s="341"/>
      <c r="O85" s="190"/>
      <c r="P85" s="191"/>
      <c r="Q85" s="190"/>
      <c r="R85" s="191"/>
      <c r="S85" s="294"/>
      <c r="T85" s="300"/>
      <c r="U85" s="306"/>
      <c r="V85" s="308"/>
      <c r="W85" s="248"/>
      <c r="X85" s="342"/>
      <c r="Y85" s="337"/>
      <c r="Z85" s="123"/>
      <c r="AA85" s="83"/>
      <c r="AB85" s="123"/>
      <c r="AC85" s="83"/>
      <c r="AD85" s="123"/>
      <c r="AE85" s="83"/>
      <c r="AF85" s="123"/>
      <c r="AG85" s="243"/>
      <c r="AH85" s="33"/>
      <c r="AI85" s="245"/>
      <c r="AJ85" s="125"/>
      <c r="AK85" s="92"/>
      <c r="AL85" s="126"/>
      <c r="AM85" s="91"/>
      <c r="AN85" s="91"/>
      <c r="AO85" s="197">
        <f t="shared" si="7"/>
        <v>0</v>
      </c>
      <c r="AP85" s="126"/>
      <c r="AQ85" s="217"/>
      <c r="AR85" s="201"/>
      <c r="AS85" s="266"/>
      <c r="AT85" s="94"/>
      <c r="AU85" s="84"/>
      <c r="AV85" s="80"/>
      <c r="AW85" s="81"/>
      <c r="AX85" s="77"/>
      <c r="AY85" s="107"/>
      <c r="AZ85" s="220">
        <f t="shared" si="4"/>
        <v>0</v>
      </c>
      <c r="BA85" s="220">
        <f t="shared" si="5"/>
        <v>0</v>
      </c>
    </row>
    <row r="86" spans="1:53" ht="50.1" customHeight="1" x14ac:dyDescent="0.25">
      <c r="A86" s="17">
        <f t="shared" si="6"/>
        <v>72</v>
      </c>
      <c r="B86" s="229"/>
      <c r="C86" s="222"/>
      <c r="D86" s="112"/>
      <c r="E86" s="128"/>
      <c r="F86" s="183"/>
      <c r="G86" s="130"/>
      <c r="H86" s="131"/>
      <c r="I86" s="132"/>
      <c r="J86" s="189"/>
      <c r="K86" s="133"/>
      <c r="L86" s="134"/>
      <c r="M86" s="334"/>
      <c r="N86" s="343"/>
      <c r="O86" s="192"/>
      <c r="P86" s="191"/>
      <c r="Q86" s="192"/>
      <c r="R86" s="191"/>
      <c r="S86" s="295"/>
      <c r="T86" s="301"/>
      <c r="U86" s="306"/>
      <c r="V86" s="308"/>
      <c r="W86" s="249"/>
      <c r="X86" s="344"/>
      <c r="Y86" s="337"/>
      <c r="Z86" s="33"/>
      <c r="AA86" s="83"/>
      <c r="AB86" s="33"/>
      <c r="AC86" s="83"/>
      <c r="AD86" s="33"/>
      <c r="AE86" s="83"/>
      <c r="AF86" s="33"/>
      <c r="AG86" s="244"/>
      <c r="AH86" s="83"/>
      <c r="AI86" s="246"/>
      <c r="AJ86" s="102"/>
      <c r="AK86" s="92"/>
      <c r="AL86" s="91"/>
      <c r="AM86" s="92"/>
      <c r="AN86" s="351"/>
      <c r="AO86" s="197">
        <f t="shared" si="7"/>
        <v>0</v>
      </c>
      <c r="AP86" s="91"/>
      <c r="AQ86" s="217"/>
      <c r="AR86" s="83"/>
      <c r="AS86" s="267"/>
      <c r="AT86" s="94"/>
      <c r="AU86" s="84"/>
      <c r="AV86" s="136"/>
      <c r="AW86" s="81"/>
      <c r="AX86" s="137"/>
      <c r="AY86" s="138"/>
      <c r="AZ86" s="220">
        <f t="shared" si="4"/>
        <v>0</v>
      </c>
      <c r="BA86" s="220">
        <f t="shared" si="5"/>
        <v>0</v>
      </c>
    </row>
    <row r="87" spans="1:53" ht="50.1" customHeight="1" x14ac:dyDescent="0.25">
      <c r="A87" s="17">
        <f t="shared" si="6"/>
        <v>73</v>
      </c>
      <c r="B87" s="228"/>
      <c r="C87" s="221"/>
      <c r="D87" s="88"/>
      <c r="E87" s="100"/>
      <c r="F87" s="95"/>
      <c r="G87" s="114"/>
      <c r="H87" s="96"/>
      <c r="I87" s="97"/>
      <c r="J87" s="98"/>
      <c r="K87" s="101"/>
      <c r="L87" s="124"/>
      <c r="M87" s="333"/>
      <c r="N87" s="341"/>
      <c r="O87" s="190"/>
      <c r="P87" s="191"/>
      <c r="Q87" s="190"/>
      <c r="R87" s="191"/>
      <c r="S87" s="294"/>
      <c r="T87" s="300"/>
      <c r="U87" s="306"/>
      <c r="V87" s="308"/>
      <c r="W87" s="248"/>
      <c r="X87" s="342"/>
      <c r="Y87" s="337"/>
      <c r="Z87" s="123"/>
      <c r="AA87" s="83"/>
      <c r="AB87" s="123"/>
      <c r="AC87" s="83"/>
      <c r="AD87" s="123"/>
      <c r="AE87" s="83"/>
      <c r="AF87" s="123"/>
      <c r="AG87" s="243"/>
      <c r="AH87" s="33"/>
      <c r="AI87" s="245"/>
      <c r="AJ87" s="125"/>
      <c r="AK87" s="92"/>
      <c r="AL87" s="126"/>
      <c r="AM87" s="91"/>
      <c r="AN87" s="91"/>
      <c r="AO87" s="197">
        <f t="shared" si="7"/>
        <v>0</v>
      </c>
      <c r="AP87" s="126"/>
      <c r="AQ87" s="217"/>
      <c r="AR87" s="201"/>
      <c r="AS87" s="266"/>
      <c r="AT87" s="94"/>
      <c r="AU87" s="84"/>
      <c r="AV87" s="80"/>
      <c r="AW87" s="81"/>
      <c r="AX87" s="77"/>
      <c r="AY87" s="107"/>
      <c r="AZ87" s="220">
        <f t="shared" si="4"/>
        <v>0</v>
      </c>
      <c r="BA87" s="220">
        <f t="shared" si="5"/>
        <v>0</v>
      </c>
    </row>
    <row r="88" spans="1:53" ht="50.1" customHeight="1" x14ac:dyDescent="0.25">
      <c r="A88" s="17">
        <f t="shared" si="6"/>
        <v>74</v>
      </c>
      <c r="B88" s="229"/>
      <c r="C88" s="222"/>
      <c r="D88" s="112"/>
      <c r="E88" s="128"/>
      <c r="F88" s="183"/>
      <c r="G88" s="130"/>
      <c r="H88" s="131"/>
      <c r="I88" s="132"/>
      <c r="J88" s="189"/>
      <c r="K88" s="133"/>
      <c r="L88" s="134"/>
      <c r="M88" s="334"/>
      <c r="N88" s="343"/>
      <c r="O88" s="192"/>
      <c r="P88" s="191"/>
      <c r="Q88" s="192"/>
      <c r="R88" s="191"/>
      <c r="S88" s="295"/>
      <c r="T88" s="301"/>
      <c r="U88" s="306"/>
      <c r="V88" s="308"/>
      <c r="W88" s="249"/>
      <c r="X88" s="344"/>
      <c r="Y88" s="337"/>
      <c r="Z88" s="33"/>
      <c r="AA88" s="83"/>
      <c r="AB88" s="33"/>
      <c r="AC88" s="83"/>
      <c r="AD88" s="33"/>
      <c r="AE88" s="83"/>
      <c r="AF88" s="33"/>
      <c r="AG88" s="244"/>
      <c r="AH88" s="83"/>
      <c r="AI88" s="246"/>
      <c r="AJ88" s="102"/>
      <c r="AK88" s="92"/>
      <c r="AL88" s="91"/>
      <c r="AM88" s="92"/>
      <c r="AN88" s="351"/>
      <c r="AO88" s="197">
        <f t="shared" si="7"/>
        <v>0</v>
      </c>
      <c r="AP88" s="91"/>
      <c r="AQ88" s="217"/>
      <c r="AR88" s="83"/>
      <c r="AS88" s="267"/>
      <c r="AT88" s="94"/>
      <c r="AU88" s="84"/>
      <c r="AV88" s="136"/>
      <c r="AW88" s="81"/>
      <c r="AX88" s="137"/>
      <c r="AY88" s="138"/>
      <c r="AZ88" s="220">
        <f t="shared" si="4"/>
        <v>0</v>
      </c>
      <c r="BA88" s="220">
        <f t="shared" si="5"/>
        <v>0</v>
      </c>
    </row>
    <row r="89" spans="1:53" ht="50.1" customHeight="1" x14ac:dyDescent="0.25">
      <c r="A89" s="17">
        <f t="shared" si="6"/>
        <v>75</v>
      </c>
      <c r="B89" s="228"/>
      <c r="C89" s="221"/>
      <c r="D89" s="88"/>
      <c r="E89" s="100"/>
      <c r="F89" s="95"/>
      <c r="G89" s="114"/>
      <c r="H89" s="96"/>
      <c r="I89" s="97"/>
      <c r="J89" s="98"/>
      <c r="K89" s="101"/>
      <c r="L89" s="124"/>
      <c r="M89" s="333"/>
      <c r="N89" s="341"/>
      <c r="O89" s="190"/>
      <c r="P89" s="191"/>
      <c r="Q89" s="190"/>
      <c r="R89" s="191"/>
      <c r="S89" s="294"/>
      <c r="T89" s="300"/>
      <c r="U89" s="306"/>
      <c r="V89" s="308"/>
      <c r="W89" s="248"/>
      <c r="X89" s="342"/>
      <c r="Y89" s="337"/>
      <c r="Z89" s="123"/>
      <c r="AA89" s="83"/>
      <c r="AB89" s="123"/>
      <c r="AC89" s="83"/>
      <c r="AD89" s="123"/>
      <c r="AE89" s="83"/>
      <c r="AF89" s="123"/>
      <c r="AG89" s="243"/>
      <c r="AH89" s="33"/>
      <c r="AI89" s="245"/>
      <c r="AJ89" s="125"/>
      <c r="AK89" s="92"/>
      <c r="AL89" s="126"/>
      <c r="AM89" s="91"/>
      <c r="AN89" s="91"/>
      <c r="AO89" s="197">
        <f t="shared" si="7"/>
        <v>0</v>
      </c>
      <c r="AP89" s="126"/>
      <c r="AQ89" s="217"/>
      <c r="AR89" s="201"/>
      <c r="AS89" s="266"/>
      <c r="AT89" s="94"/>
      <c r="AU89" s="84"/>
      <c r="AV89" s="80"/>
      <c r="AW89" s="81"/>
      <c r="AX89" s="77"/>
      <c r="AY89" s="107"/>
      <c r="AZ89" s="220">
        <f t="shared" si="4"/>
        <v>0</v>
      </c>
      <c r="BA89" s="220">
        <f t="shared" si="5"/>
        <v>0</v>
      </c>
    </row>
    <row r="90" spans="1:53" ht="50.1" customHeight="1" x14ac:dyDescent="0.25">
      <c r="A90" s="17">
        <f t="shared" si="6"/>
        <v>76</v>
      </c>
      <c r="B90" s="229"/>
      <c r="C90" s="222"/>
      <c r="D90" s="112"/>
      <c r="E90" s="128"/>
      <c r="F90" s="183"/>
      <c r="G90" s="130"/>
      <c r="H90" s="131"/>
      <c r="I90" s="132"/>
      <c r="J90" s="189"/>
      <c r="K90" s="133"/>
      <c r="L90" s="134"/>
      <c r="M90" s="334"/>
      <c r="N90" s="343"/>
      <c r="O90" s="192"/>
      <c r="P90" s="191"/>
      <c r="Q90" s="192"/>
      <c r="R90" s="191"/>
      <c r="S90" s="295"/>
      <c r="T90" s="301"/>
      <c r="U90" s="306"/>
      <c r="V90" s="308"/>
      <c r="W90" s="249"/>
      <c r="X90" s="344"/>
      <c r="Y90" s="337"/>
      <c r="Z90" s="33"/>
      <c r="AA90" s="83"/>
      <c r="AB90" s="33"/>
      <c r="AC90" s="83"/>
      <c r="AD90" s="33"/>
      <c r="AE90" s="83"/>
      <c r="AF90" s="33"/>
      <c r="AG90" s="244"/>
      <c r="AH90" s="83"/>
      <c r="AI90" s="246"/>
      <c r="AJ90" s="102"/>
      <c r="AK90" s="92"/>
      <c r="AL90" s="91"/>
      <c r="AM90" s="92"/>
      <c r="AN90" s="351"/>
      <c r="AO90" s="197">
        <f t="shared" si="7"/>
        <v>0</v>
      </c>
      <c r="AP90" s="91"/>
      <c r="AQ90" s="217"/>
      <c r="AR90" s="83"/>
      <c r="AS90" s="267"/>
      <c r="AT90" s="94"/>
      <c r="AU90" s="84"/>
      <c r="AV90" s="136"/>
      <c r="AW90" s="81"/>
      <c r="AX90" s="137"/>
      <c r="AY90" s="138"/>
      <c r="AZ90" s="220">
        <f t="shared" si="4"/>
        <v>0</v>
      </c>
      <c r="BA90" s="220">
        <f t="shared" si="5"/>
        <v>0</v>
      </c>
    </row>
    <row r="91" spans="1:53" ht="50.1" customHeight="1" x14ac:dyDescent="0.25">
      <c r="A91" s="17">
        <f t="shared" si="6"/>
        <v>77</v>
      </c>
      <c r="B91" s="228"/>
      <c r="C91" s="221"/>
      <c r="D91" s="88"/>
      <c r="E91" s="100"/>
      <c r="F91" s="95"/>
      <c r="G91" s="114"/>
      <c r="H91" s="96"/>
      <c r="I91" s="97"/>
      <c r="J91" s="98"/>
      <c r="K91" s="101"/>
      <c r="L91" s="124"/>
      <c r="M91" s="333"/>
      <c r="N91" s="341"/>
      <c r="O91" s="190"/>
      <c r="P91" s="191"/>
      <c r="Q91" s="190"/>
      <c r="R91" s="191"/>
      <c r="S91" s="294"/>
      <c r="T91" s="300"/>
      <c r="U91" s="306"/>
      <c r="V91" s="308"/>
      <c r="W91" s="248"/>
      <c r="X91" s="342"/>
      <c r="Y91" s="337"/>
      <c r="Z91" s="123"/>
      <c r="AA91" s="83"/>
      <c r="AB91" s="123"/>
      <c r="AC91" s="83"/>
      <c r="AD91" s="123"/>
      <c r="AE91" s="83"/>
      <c r="AF91" s="123"/>
      <c r="AG91" s="243"/>
      <c r="AH91" s="33"/>
      <c r="AI91" s="245"/>
      <c r="AJ91" s="125"/>
      <c r="AK91" s="92"/>
      <c r="AL91" s="126"/>
      <c r="AM91" s="91"/>
      <c r="AN91" s="91"/>
      <c r="AO91" s="197">
        <f t="shared" si="7"/>
        <v>0</v>
      </c>
      <c r="AP91" s="126"/>
      <c r="AQ91" s="217"/>
      <c r="AR91" s="201"/>
      <c r="AS91" s="266"/>
      <c r="AT91" s="94"/>
      <c r="AU91" s="84"/>
      <c r="AV91" s="80"/>
      <c r="AW91" s="81"/>
      <c r="AX91" s="77"/>
      <c r="AY91" s="107"/>
      <c r="AZ91" s="220">
        <f t="shared" si="4"/>
        <v>0</v>
      </c>
      <c r="BA91" s="220">
        <f t="shared" si="5"/>
        <v>0</v>
      </c>
    </row>
    <row r="92" spans="1:53" ht="50.1" customHeight="1" x14ac:dyDescent="0.25">
      <c r="A92" s="17">
        <f t="shared" si="6"/>
        <v>78</v>
      </c>
      <c r="B92" s="229"/>
      <c r="C92" s="222"/>
      <c r="D92" s="112"/>
      <c r="E92" s="128"/>
      <c r="F92" s="183"/>
      <c r="G92" s="130"/>
      <c r="H92" s="131"/>
      <c r="I92" s="132"/>
      <c r="J92" s="189"/>
      <c r="K92" s="133"/>
      <c r="L92" s="134"/>
      <c r="M92" s="334"/>
      <c r="N92" s="343"/>
      <c r="O92" s="192"/>
      <c r="P92" s="191"/>
      <c r="Q92" s="192"/>
      <c r="R92" s="191"/>
      <c r="S92" s="295"/>
      <c r="T92" s="301"/>
      <c r="U92" s="306"/>
      <c r="V92" s="308"/>
      <c r="W92" s="249"/>
      <c r="X92" s="344"/>
      <c r="Y92" s="337"/>
      <c r="Z92" s="33"/>
      <c r="AA92" s="83"/>
      <c r="AB92" s="33"/>
      <c r="AC92" s="83"/>
      <c r="AD92" s="33"/>
      <c r="AE92" s="83"/>
      <c r="AF92" s="33"/>
      <c r="AG92" s="244"/>
      <c r="AH92" s="83"/>
      <c r="AI92" s="246"/>
      <c r="AJ92" s="102"/>
      <c r="AK92" s="92"/>
      <c r="AL92" s="91"/>
      <c r="AM92" s="92"/>
      <c r="AN92" s="351"/>
      <c r="AO92" s="197">
        <f t="shared" si="7"/>
        <v>0</v>
      </c>
      <c r="AP92" s="91"/>
      <c r="AQ92" s="217"/>
      <c r="AR92" s="83"/>
      <c r="AS92" s="267"/>
      <c r="AT92" s="94"/>
      <c r="AU92" s="84"/>
      <c r="AV92" s="136"/>
      <c r="AW92" s="81"/>
      <c r="AX92" s="137"/>
      <c r="AY92" s="138"/>
      <c r="AZ92" s="220">
        <f t="shared" si="4"/>
        <v>0</v>
      </c>
      <c r="BA92" s="220">
        <f t="shared" si="5"/>
        <v>0</v>
      </c>
    </row>
    <row r="93" spans="1:53" ht="50.1" customHeight="1" x14ac:dyDescent="0.25">
      <c r="A93" s="17">
        <f t="shared" si="6"/>
        <v>79</v>
      </c>
      <c r="B93" s="228"/>
      <c r="C93" s="221"/>
      <c r="D93" s="88"/>
      <c r="E93" s="100"/>
      <c r="F93" s="95"/>
      <c r="G93" s="114"/>
      <c r="H93" s="96"/>
      <c r="I93" s="97"/>
      <c r="J93" s="98"/>
      <c r="K93" s="101"/>
      <c r="L93" s="124"/>
      <c r="M93" s="333"/>
      <c r="N93" s="341"/>
      <c r="O93" s="190"/>
      <c r="P93" s="191"/>
      <c r="Q93" s="190"/>
      <c r="R93" s="191"/>
      <c r="S93" s="294"/>
      <c r="T93" s="300"/>
      <c r="U93" s="306"/>
      <c r="V93" s="308"/>
      <c r="W93" s="248"/>
      <c r="X93" s="342"/>
      <c r="Y93" s="337"/>
      <c r="Z93" s="123"/>
      <c r="AA93" s="83"/>
      <c r="AB93" s="123"/>
      <c r="AC93" s="83"/>
      <c r="AD93" s="123"/>
      <c r="AE93" s="83"/>
      <c r="AF93" s="123"/>
      <c r="AG93" s="243"/>
      <c r="AH93" s="33"/>
      <c r="AI93" s="245"/>
      <c r="AJ93" s="125"/>
      <c r="AK93" s="92"/>
      <c r="AL93" s="126"/>
      <c r="AM93" s="91"/>
      <c r="AN93" s="91"/>
      <c r="AO93" s="197">
        <f t="shared" si="7"/>
        <v>0</v>
      </c>
      <c r="AP93" s="126"/>
      <c r="AQ93" s="217"/>
      <c r="AR93" s="201"/>
      <c r="AS93" s="266"/>
      <c r="AT93" s="94"/>
      <c r="AU93" s="84"/>
      <c r="AV93" s="80"/>
      <c r="AW93" s="81"/>
      <c r="AX93" s="77"/>
      <c r="AY93" s="107"/>
      <c r="AZ93" s="220">
        <f t="shared" si="4"/>
        <v>0</v>
      </c>
      <c r="BA93" s="220">
        <f t="shared" si="5"/>
        <v>0</v>
      </c>
    </row>
    <row r="94" spans="1:53" ht="50.1" customHeight="1" x14ac:dyDescent="0.25">
      <c r="A94" s="17">
        <f t="shared" si="6"/>
        <v>80</v>
      </c>
      <c r="B94" s="229"/>
      <c r="C94" s="222"/>
      <c r="D94" s="112"/>
      <c r="E94" s="128"/>
      <c r="F94" s="183"/>
      <c r="G94" s="130"/>
      <c r="H94" s="131"/>
      <c r="I94" s="132"/>
      <c r="J94" s="189"/>
      <c r="K94" s="133"/>
      <c r="L94" s="134"/>
      <c r="M94" s="334"/>
      <c r="N94" s="343"/>
      <c r="O94" s="192"/>
      <c r="P94" s="191"/>
      <c r="Q94" s="192"/>
      <c r="R94" s="191"/>
      <c r="S94" s="295"/>
      <c r="T94" s="301"/>
      <c r="U94" s="306"/>
      <c r="V94" s="308"/>
      <c r="W94" s="249"/>
      <c r="X94" s="345"/>
      <c r="Y94" s="337"/>
      <c r="Z94" s="33"/>
      <c r="AA94" s="83"/>
      <c r="AB94" s="33"/>
      <c r="AC94" s="83"/>
      <c r="AD94" s="33"/>
      <c r="AE94" s="83"/>
      <c r="AF94" s="33"/>
      <c r="AG94" s="244"/>
      <c r="AH94" s="83"/>
      <c r="AI94" s="246"/>
      <c r="AJ94" s="102"/>
      <c r="AK94" s="92"/>
      <c r="AL94" s="91"/>
      <c r="AM94" s="92"/>
      <c r="AN94" s="351"/>
      <c r="AO94" s="197">
        <f t="shared" si="7"/>
        <v>0</v>
      </c>
      <c r="AP94" s="91"/>
      <c r="AQ94" s="217"/>
      <c r="AR94" s="83"/>
      <c r="AS94" s="267"/>
      <c r="AT94" s="94"/>
      <c r="AU94" s="84"/>
      <c r="AV94" s="136"/>
      <c r="AW94" s="81"/>
      <c r="AX94" s="137"/>
      <c r="AY94" s="138"/>
      <c r="AZ94" s="220">
        <f t="shared" si="4"/>
        <v>0</v>
      </c>
      <c r="BA94" s="220">
        <f t="shared" si="5"/>
        <v>0</v>
      </c>
    </row>
    <row r="95" spans="1:53" ht="50.1" customHeight="1" x14ac:dyDescent="0.25">
      <c r="A95" s="17">
        <f t="shared" si="6"/>
        <v>81</v>
      </c>
      <c r="B95" s="228"/>
      <c r="C95" s="221"/>
      <c r="D95" s="88"/>
      <c r="E95" s="100"/>
      <c r="F95" s="95"/>
      <c r="G95" s="114"/>
      <c r="H95" s="96"/>
      <c r="I95" s="97"/>
      <c r="J95" s="98"/>
      <c r="K95" s="101"/>
      <c r="L95" s="124"/>
      <c r="M95" s="333"/>
      <c r="N95" s="341"/>
      <c r="O95" s="190"/>
      <c r="P95" s="191"/>
      <c r="Q95" s="190"/>
      <c r="R95" s="191"/>
      <c r="S95" s="294"/>
      <c r="T95" s="300"/>
      <c r="U95" s="306"/>
      <c r="V95" s="308"/>
      <c r="W95" s="248"/>
      <c r="X95" s="342"/>
      <c r="Y95" s="337"/>
      <c r="Z95" s="123"/>
      <c r="AA95" s="83"/>
      <c r="AB95" s="123"/>
      <c r="AC95" s="83"/>
      <c r="AD95" s="123"/>
      <c r="AE95" s="83"/>
      <c r="AF95" s="123"/>
      <c r="AG95" s="243"/>
      <c r="AH95" s="33"/>
      <c r="AI95" s="245"/>
      <c r="AJ95" s="125"/>
      <c r="AK95" s="92"/>
      <c r="AL95" s="126"/>
      <c r="AM95" s="91"/>
      <c r="AN95" s="91"/>
      <c r="AO95" s="197">
        <f t="shared" si="7"/>
        <v>0</v>
      </c>
      <c r="AP95" s="126"/>
      <c r="AQ95" s="217"/>
      <c r="AR95" s="201"/>
      <c r="AS95" s="266"/>
      <c r="AT95" s="94"/>
      <c r="AU95" s="84"/>
      <c r="AV95" s="80"/>
      <c r="AW95" s="81"/>
      <c r="AX95" s="77"/>
      <c r="AY95" s="107"/>
      <c r="AZ95" s="220">
        <f t="shared" si="4"/>
        <v>0</v>
      </c>
      <c r="BA95" s="220">
        <f t="shared" si="5"/>
        <v>0</v>
      </c>
    </row>
    <row r="96" spans="1:53" ht="50.1" customHeight="1" x14ac:dyDescent="0.25">
      <c r="A96" s="17">
        <f t="shared" si="6"/>
        <v>82</v>
      </c>
      <c r="B96" s="229"/>
      <c r="C96" s="222"/>
      <c r="D96" s="112"/>
      <c r="E96" s="128"/>
      <c r="F96" s="183"/>
      <c r="G96" s="130"/>
      <c r="H96" s="131"/>
      <c r="I96" s="132"/>
      <c r="J96" s="189"/>
      <c r="K96" s="133"/>
      <c r="L96" s="134"/>
      <c r="M96" s="334"/>
      <c r="N96" s="343"/>
      <c r="O96" s="192"/>
      <c r="P96" s="191"/>
      <c r="Q96" s="192"/>
      <c r="R96" s="191"/>
      <c r="S96" s="295"/>
      <c r="T96" s="301"/>
      <c r="U96" s="306"/>
      <c r="V96" s="308"/>
      <c r="W96" s="249"/>
      <c r="X96" s="344"/>
      <c r="Y96" s="337"/>
      <c r="Z96" s="33"/>
      <c r="AA96" s="83"/>
      <c r="AB96" s="33"/>
      <c r="AC96" s="83"/>
      <c r="AD96" s="33"/>
      <c r="AE96" s="83"/>
      <c r="AF96" s="33"/>
      <c r="AG96" s="244"/>
      <c r="AH96" s="83"/>
      <c r="AI96" s="246"/>
      <c r="AJ96" s="102"/>
      <c r="AK96" s="92"/>
      <c r="AL96" s="91"/>
      <c r="AM96" s="92"/>
      <c r="AN96" s="351"/>
      <c r="AO96" s="197">
        <f t="shared" si="7"/>
        <v>0</v>
      </c>
      <c r="AP96" s="91"/>
      <c r="AQ96" s="217"/>
      <c r="AR96" s="83"/>
      <c r="AS96" s="267"/>
      <c r="AT96" s="94"/>
      <c r="AU96" s="84"/>
      <c r="AV96" s="136"/>
      <c r="AW96" s="81"/>
      <c r="AX96" s="137"/>
      <c r="AY96" s="138"/>
      <c r="AZ96" s="220">
        <f t="shared" si="4"/>
        <v>0</v>
      </c>
      <c r="BA96" s="220">
        <f t="shared" si="5"/>
        <v>0</v>
      </c>
    </row>
    <row r="97" spans="1:53" ht="50.1" customHeight="1" x14ac:dyDescent="0.25">
      <c r="A97" s="17">
        <f t="shared" si="6"/>
        <v>83</v>
      </c>
      <c r="B97" s="228"/>
      <c r="C97" s="221"/>
      <c r="D97" s="88"/>
      <c r="E97" s="100"/>
      <c r="F97" s="95"/>
      <c r="G97" s="114"/>
      <c r="H97" s="96"/>
      <c r="I97" s="97"/>
      <c r="J97" s="98"/>
      <c r="K97" s="101"/>
      <c r="L97" s="124"/>
      <c r="M97" s="333"/>
      <c r="N97" s="341"/>
      <c r="O97" s="190"/>
      <c r="P97" s="191"/>
      <c r="Q97" s="190"/>
      <c r="R97" s="191"/>
      <c r="S97" s="294"/>
      <c r="T97" s="300"/>
      <c r="U97" s="306"/>
      <c r="V97" s="308"/>
      <c r="W97" s="248"/>
      <c r="X97" s="342"/>
      <c r="Y97" s="337"/>
      <c r="Z97" s="123"/>
      <c r="AA97" s="83"/>
      <c r="AB97" s="123"/>
      <c r="AC97" s="83"/>
      <c r="AD97" s="123"/>
      <c r="AE97" s="83"/>
      <c r="AF97" s="123"/>
      <c r="AG97" s="243"/>
      <c r="AH97" s="33"/>
      <c r="AI97" s="245"/>
      <c r="AJ97" s="198"/>
      <c r="AK97" s="92"/>
      <c r="AL97" s="126"/>
      <c r="AM97" s="91"/>
      <c r="AN97" s="91"/>
      <c r="AO97" s="197">
        <f t="shared" si="7"/>
        <v>0</v>
      </c>
      <c r="AP97" s="126"/>
      <c r="AQ97" s="217"/>
      <c r="AR97" s="123"/>
      <c r="AS97" s="268"/>
      <c r="AT97" s="94"/>
      <c r="AU97" s="84"/>
      <c r="AV97" s="80"/>
      <c r="AW97" s="81"/>
      <c r="AX97" s="77"/>
      <c r="AY97" s="107"/>
      <c r="AZ97" s="220">
        <f t="shared" si="4"/>
        <v>0</v>
      </c>
      <c r="BA97" s="220">
        <f t="shared" si="5"/>
        <v>0</v>
      </c>
    </row>
    <row r="98" spans="1:53" ht="50.1" customHeight="1" x14ac:dyDescent="0.25">
      <c r="A98" s="17">
        <f t="shared" si="6"/>
        <v>84</v>
      </c>
      <c r="B98" s="229"/>
      <c r="C98" s="222"/>
      <c r="D98" s="112"/>
      <c r="E98" s="128"/>
      <c r="F98" s="183"/>
      <c r="G98" s="130"/>
      <c r="H98" s="131"/>
      <c r="I98" s="132"/>
      <c r="J98" s="189"/>
      <c r="K98" s="133"/>
      <c r="L98" s="134"/>
      <c r="M98" s="334"/>
      <c r="N98" s="343"/>
      <c r="O98" s="192"/>
      <c r="P98" s="191"/>
      <c r="Q98" s="192"/>
      <c r="R98" s="191"/>
      <c r="S98" s="295"/>
      <c r="T98" s="301"/>
      <c r="U98" s="306"/>
      <c r="V98" s="308"/>
      <c r="W98" s="249"/>
      <c r="X98" s="344"/>
      <c r="Y98" s="337"/>
      <c r="Z98" s="33"/>
      <c r="AA98" s="83"/>
      <c r="AB98" s="33"/>
      <c r="AC98" s="83"/>
      <c r="AD98" s="33"/>
      <c r="AE98" s="83"/>
      <c r="AF98" s="33"/>
      <c r="AG98" s="244"/>
      <c r="AH98" s="83"/>
      <c r="AI98" s="246"/>
      <c r="AJ98" s="195"/>
      <c r="AK98" s="92"/>
      <c r="AL98" s="91"/>
      <c r="AM98" s="92"/>
      <c r="AN98" s="351"/>
      <c r="AO98" s="197">
        <f t="shared" si="7"/>
        <v>0</v>
      </c>
      <c r="AP98" s="91"/>
      <c r="AQ98" s="217"/>
      <c r="AR98" s="83"/>
      <c r="AS98" s="267"/>
      <c r="AT98" s="94"/>
      <c r="AU98" s="84"/>
      <c r="AV98" s="136"/>
      <c r="AW98" s="81"/>
      <c r="AX98" s="137"/>
      <c r="AY98" s="138"/>
      <c r="AZ98" s="220">
        <f t="shared" si="4"/>
        <v>0</v>
      </c>
      <c r="BA98" s="220">
        <f t="shared" si="5"/>
        <v>0</v>
      </c>
    </row>
    <row r="99" spans="1:53" ht="50.1" customHeight="1" x14ac:dyDescent="0.25">
      <c r="A99" s="17">
        <f t="shared" si="6"/>
        <v>85</v>
      </c>
      <c r="B99" s="228"/>
      <c r="C99" s="221"/>
      <c r="D99" s="88"/>
      <c r="E99" s="100"/>
      <c r="F99" s="95"/>
      <c r="G99" s="114"/>
      <c r="H99" s="96"/>
      <c r="I99" s="97"/>
      <c r="J99" s="98"/>
      <c r="K99" s="101"/>
      <c r="L99" s="124"/>
      <c r="M99" s="333"/>
      <c r="N99" s="341"/>
      <c r="O99" s="190"/>
      <c r="P99" s="191"/>
      <c r="Q99" s="190"/>
      <c r="R99" s="191"/>
      <c r="S99" s="294"/>
      <c r="T99" s="300"/>
      <c r="U99" s="306"/>
      <c r="V99" s="308"/>
      <c r="W99" s="248"/>
      <c r="X99" s="342"/>
      <c r="Y99" s="337"/>
      <c r="Z99" s="123"/>
      <c r="AA99" s="83"/>
      <c r="AB99" s="123"/>
      <c r="AC99" s="83"/>
      <c r="AD99" s="123"/>
      <c r="AE99" s="83"/>
      <c r="AF99" s="123"/>
      <c r="AG99" s="243"/>
      <c r="AH99" s="33"/>
      <c r="AI99" s="245"/>
      <c r="AJ99" s="198"/>
      <c r="AK99" s="92"/>
      <c r="AL99" s="126"/>
      <c r="AM99" s="91"/>
      <c r="AN99" s="91"/>
      <c r="AO99" s="197">
        <f t="shared" si="7"/>
        <v>0</v>
      </c>
      <c r="AP99" s="126"/>
      <c r="AQ99" s="217"/>
      <c r="AR99" s="123"/>
      <c r="AS99" s="268"/>
      <c r="AT99" s="94"/>
      <c r="AU99" s="84"/>
      <c r="AV99" s="80"/>
      <c r="AW99" s="81"/>
      <c r="AX99" s="77"/>
      <c r="AY99" s="107"/>
      <c r="AZ99" s="220">
        <f t="shared" si="4"/>
        <v>0</v>
      </c>
      <c r="BA99" s="220">
        <f t="shared" si="5"/>
        <v>0</v>
      </c>
    </row>
    <row r="100" spans="1:53" ht="50.1" customHeight="1" x14ac:dyDescent="0.25">
      <c r="A100" s="17">
        <f t="shared" si="6"/>
        <v>86</v>
      </c>
      <c r="B100" s="229"/>
      <c r="C100" s="222"/>
      <c r="D100" s="112"/>
      <c r="E100" s="128"/>
      <c r="F100" s="183"/>
      <c r="G100" s="130"/>
      <c r="H100" s="131"/>
      <c r="I100" s="132"/>
      <c r="J100" s="189"/>
      <c r="K100" s="133"/>
      <c r="L100" s="134"/>
      <c r="M100" s="334"/>
      <c r="N100" s="343"/>
      <c r="O100" s="192"/>
      <c r="P100" s="191"/>
      <c r="Q100" s="192"/>
      <c r="R100" s="191"/>
      <c r="S100" s="295"/>
      <c r="T100" s="301"/>
      <c r="U100" s="306"/>
      <c r="V100" s="308"/>
      <c r="W100" s="249"/>
      <c r="X100" s="344"/>
      <c r="Y100" s="337"/>
      <c r="Z100" s="33"/>
      <c r="AA100" s="83"/>
      <c r="AB100" s="33"/>
      <c r="AC100" s="83"/>
      <c r="AD100" s="33"/>
      <c r="AE100" s="83"/>
      <c r="AF100" s="33"/>
      <c r="AG100" s="244"/>
      <c r="AH100" s="83"/>
      <c r="AI100" s="246"/>
      <c r="AJ100" s="102"/>
      <c r="AK100" s="92"/>
      <c r="AL100" s="91"/>
      <c r="AM100" s="92"/>
      <c r="AN100" s="351"/>
      <c r="AO100" s="197">
        <f t="shared" si="7"/>
        <v>0</v>
      </c>
      <c r="AP100" s="91"/>
      <c r="AQ100" s="217"/>
      <c r="AR100" s="83"/>
      <c r="AS100" s="267"/>
      <c r="AT100" s="94"/>
      <c r="AU100" s="84"/>
      <c r="AV100" s="136"/>
      <c r="AW100" s="81"/>
      <c r="AX100" s="137"/>
      <c r="AY100" s="138"/>
      <c r="AZ100" s="220">
        <f t="shared" si="4"/>
        <v>0</v>
      </c>
      <c r="BA100" s="220">
        <f t="shared" si="5"/>
        <v>0</v>
      </c>
    </row>
    <row r="101" spans="1:53" ht="50.1" customHeight="1" x14ac:dyDescent="0.25">
      <c r="A101" s="17">
        <f t="shared" si="6"/>
        <v>87</v>
      </c>
      <c r="B101" s="228"/>
      <c r="C101" s="221"/>
      <c r="D101" s="88"/>
      <c r="E101" s="100"/>
      <c r="F101" s="95"/>
      <c r="G101" s="114"/>
      <c r="H101" s="96"/>
      <c r="I101" s="97"/>
      <c r="J101" s="98"/>
      <c r="K101" s="101"/>
      <c r="L101" s="124"/>
      <c r="M101" s="333"/>
      <c r="N101" s="341"/>
      <c r="O101" s="190"/>
      <c r="P101" s="191"/>
      <c r="Q101" s="190"/>
      <c r="R101" s="191"/>
      <c r="S101" s="294"/>
      <c r="T101" s="300"/>
      <c r="U101" s="306"/>
      <c r="V101" s="308"/>
      <c r="W101" s="248"/>
      <c r="X101" s="342"/>
      <c r="Y101" s="337"/>
      <c r="Z101" s="123"/>
      <c r="AA101" s="83"/>
      <c r="AB101" s="123"/>
      <c r="AC101" s="83"/>
      <c r="AD101" s="123"/>
      <c r="AE101" s="83"/>
      <c r="AF101" s="123"/>
      <c r="AG101" s="243"/>
      <c r="AH101" s="33"/>
      <c r="AI101" s="245"/>
      <c r="AJ101" s="125"/>
      <c r="AK101" s="92"/>
      <c r="AL101" s="126"/>
      <c r="AM101" s="91"/>
      <c r="AN101" s="91"/>
      <c r="AO101" s="197">
        <f t="shared" si="7"/>
        <v>0</v>
      </c>
      <c r="AP101" s="126"/>
      <c r="AQ101" s="217"/>
      <c r="AR101" s="201"/>
      <c r="AS101" s="266"/>
      <c r="AT101" s="94"/>
      <c r="AU101" s="84"/>
      <c r="AV101" s="80"/>
      <c r="AW101" s="81"/>
      <c r="AX101" s="77"/>
      <c r="AY101" s="107"/>
      <c r="AZ101" s="220">
        <f t="shared" si="4"/>
        <v>0</v>
      </c>
      <c r="BA101" s="220">
        <f t="shared" si="5"/>
        <v>0</v>
      </c>
    </row>
    <row r="102" spans="1:53" ht="50.1" customHeight="1" x14ac:dyDescent="0.25">
      <c r="A102" s="17">
        <f t="shared" si="6"/>
        <v>88</v>
      </c>
      <c r="B102" s="229"/>
      <c r="C102" s="222"/>
      <c r="D102" s="112"/>
      <c r="E102" s="128"/>
      <c r="F102" s="183"/>
      <c r="G102" s="130"/>
      <c r="H102" s="131"/>
      <c r="I102" s="132"/>
      <c r="J102" s="189"/>
      <c r="K102" s="133"/>
      <c r="L102" s="134"/>
      <c r="M102" s="334"/>
      <c r="N102" s="343"/>
      <c r="O102" s="192"/>
      <c r="P102" s="191"/>
      <c r="Q102" s="192"/>
      <c r="R102" s="191"/>
      <c r="S102" s="295"/>
      <c r="T102" s="301"/>
      <c r="U102" s="306"/>
      <c r="V102" s="308"/>
      <c r="W102" s="249"/>
      <c r="X102" s="344"/>
      <c r="Y102" s="337"/>
      <c r="Z102" s="33"/>
      <c r="AA102" s="83"/>
      <c r="AB102" s="33"/>
      <c r="AC102" s="83"/>
      <c r="AD102" s="33"/>
      <c r="AE102" s="83"/>
      <c r="AF102" s="33"/>
      <c r="AG102" s="244"/>
      <c r="AH102" s="83"/>
      <c r="AI102" s="246"/>
      <c r="AJ102" s="102"/>
      <c r="AK102" s="92"/>
      <c r="AL102" s="91"/>
      <c r="AM102" s="92"/>
      <c r="AN102" s="351"/>
      <c r="AO102" s="197">
        <f t="shared" si="7"/>
        <v>0</v>
      </c>
      <c r="AP102" s="91"/>
      <c r="AQ102" s="217"/>
      <c r="AR102" s="83"/>
      <c r="AS102" s="267"/>
      <c r="AT102" s="94"/>
      <c r="AU102" s="84"/>
      <c r="AV102" s="136"/>
      <c r="AW102" s="81"/>
      <c r="AX102" s="137"/>
      <c r="AY102" s="138"/>
      <c r="AZ102" s="220">
        <f t="shared" si="4"/>
        <v>0</v>
      </c>
      <c r="BA102" s="220">
        <f t="shared" si="5"/>
        <v>0</v>
      </c>
    </row>
    <row r="103" spans="1:53" ht="50.1" customHeight="1" x14ac:dyDescent="0.25">
      <c r="A103" s="17">
        <f t="shared" si="6"/>
        <v>89</v>
      </c>
      <c r="B103" s="228"/>
      <c r="C103" s="221"/>
      <c r="D103" s="88"/>
      <c r="E103" s="100"/>
      <c r="F103" s="95"/>
      <c r="G103" s="114"/>
      <c r="H103" s="96"/>
      <c r="I103" s="97"/>
      <c r="J103" s="98"/>
      <c r="K103" s="101"/>
      <c r="L103" s="124"/>
      <c r="M103" s="333"/>
      <c r="N103" s="341"/>
      <c r="O103" s="190"/>
      <c r="P103" s="191"/>
      <c r="Q103" s="190"/>
      <c r="R103" s="191"/>
      <c r="S103" s="294"/>
      <c r="T103" s="300"/>
      <c r="U103" s="306"/>
      <c r="V103" s="308"/>
      <c r="W103" s="248"/>
      <c r="X103" s="342"/>
      <c r="Y103" s="337"/>
      <c r="Z103" s="123"/>
      <c r="AA103" s="83"/>
      <c r="AB103" s="123"/>
      <c r="AC103" s="83"/>
      <c r="AD103" s="123"/>
      <c r="AE103" s="83"/>
      <c r="AF103" s="123"/>
      <c r="AG103" s="243"/>
      <c r="AH103" s="33"/>
      <c r="AI103" s="245"/>
      <c r="AJ103" s="125"/>
      <c r="AK103" s="92"/>
      <c r="AL103" s="126"/>
      <c r="AM103" s="91"/>
      <c r="AN103" s="91"/>
      <c r="AO103" s="197">
        <f t="shared" si="7"/>
        <v>0</v>
      </c>
      <c r="AP103" s="126"/>
      <c r="AQ103" s="217"/>
      <c r="AR103" s="123"/>
      <c r="AS103" s="268"/>
      <c r="AT103" s="94"/>
      <c r="AU103" s="84"/>
      <c r="AV103" s="80"/>
      <c r="AW103" s="81"/>
      <c r="AX103" s="77"/>
      <c r="AY103" s="107"/>
      <c r="AZ103" s="220">
        <f t="shared" si="4"/>
        <v>0</v>
      </c>
      <c r="BA103" s="220">
        <f t="shared" si="5"/>
        <v>0</v>
      </c>
    </row>
    <row r="104" spans="1:53" ht="50.1" customHeight="1" x14ac:dyDescent="0.25">
      <c r="A104" s="17">
        <f t="shared" si="6"/>
        <v>90</v>
      </c>
      <c r="B104" s="229"/>
      <c r="C104" s="222"/>
      <c r="D104" s="112"/>
      <c r="E104" s="128"/>
      <c r="F104" s="183"/>
      <c r="G104" s="130"/>
      <c r="H104" s="131"/>
      <c r="I104" s="132"/>
      <c r="J104" s="189"/>
      <c r="K104" s="133"/>
      <c r="L104" s="134"/>
      <c r="M104" s="334"/>
      <c r="N104" s="343"/>
      <c r="O104" s="192"/>
      <c r="P104" s="191"/>
      <c r="Q104" s="192"/>
      <c r="R104" s="191"/>
      <c r="S104" s="295"/>
      <c r="T104" s="301"/>
      <c r="U104" s="306"/>
      <c r="V104" s="308"/>
      <c r="W104" s="249"/>
      <c r="X104" s="344"/>
      <c r="Y104" s="337"/>
      <c r="Z104" s="33"/>
      <c r="AA104" s="83"/>
      <c r="AB104" s="33"/>
      <c r="AC104" s="83"/>
      <c r="AD104" s="33"/>
      <c r="AE104" s="83"/>
      <c r="AF104" s="33"/>
      <c r="AG104" s="244"/>
      <c r="AH104" s="83"/>
      <c r="AI104" s="246"/>
      <c r="AJ104" s="102"/>
      <c r="AK104" s="92"/>
      <c r="AL104" s="91"/>
      <c r="AM104" s="92"/>
      <c r="AN104" s="351"/>
      <c r="AO104" s="197">
        <f t="shared" si="7"/>
        <v>0</v>
      </c>
      <c r="AP104" s="91"/>
      <c r="AQ104" s="217"/>
      <c r="AR104" s="83"/>
      <c r="AS104" s="267"/>
      <c r="AT104" s="94"/>
      <c r="AU104" s="84"/>
      <c r="AV104" s="136"/>
      <c r="AW104" s="81"/>
      <c r="AX104" s="137"/>
      <c r="AY104" s="138"/>
      <c r="AZ104" s="220">
        <f t="shared" si="4"/>
        <v>0</v>
      </c>
      <c r="BA104" s="220">
        <f t="shared" si="5"/>
        <v>0</v>
      </c>
    </row>
    <row r="105" spans="1:53" ht="50.1" customHeight="1" x14ac:dyDescent="0.25">
      <c r="A105" s="17">
        <f t="shared" si="6"/>
        <v>91</v>
      </c>
      <c r="B105" s="228"/>
      <c r="C105" s="221"/>
      <c r="D105" s="88"/>
      <c r="E105" s="100"/>
      <c r="F105" s="95"/>
      <c r="G105" s="114"/>
      <c r="H105" s="96"/>
      <c r="I105" s="97"/>
      <c r="J105" s="98"/>
      <c r="K105" s="101"/>
      <c r="L105" s="124"/>
      <c r="M105" s="333"/>
      <c r="N105" s="346"/>
      <c r="O105" s="190"/>
      <c r="P105" s="191"/>
      <c r="Q105" s="190"/>
      <c r="R105" s="191"/>
      <c r="S105" s="294"/>
      <c r="T105" s="300"/>
      <c r="U105" s="306"/>
      <c r="V105" s="308"/>
      <c r="W105" s="248"/>
      <c r="X105" s="342"/>
      <c r="Y105" s="337"/>
      <c r="Z105" s="123"/>
      <c r="AA105" s="83"/>
      <c r="AB105" s="123"/>
      <c r="AC105" s="83"/>
      <c r="AD105" s="123"/>
      <c r="AE105" s="83"/>
      <c r="AF105" s="123"/>
      <c r="AG105" s="243"/>
      <c r="AH105" s="33"/>
      <c r="AI105" s="245"/>
      <c r="AJ105" s="125"/>
      <c r="AK105" s="92"/>
      <c r="AL105" s="126"/>
      <c r="AM105" s="91"/>
      <c r="AN105" s="91"/>
      <c r="AO105" s="197">
        <f t="shared" si="7"/>
        <v>0</v>
      </c>
      <c r="AP105" s="126"/>
      <c r="AQ105" s="217"/>
      <c r="AR105" s="200"/>
      <c r="AS105" s="263"/>
      <c r="AT105" s="94"/>
      <c r="AU105" s="84"/>
      <c r="AV105" s="80"/>
      <c r="AW105" s="81"/>
      <c r="AX105" s="77"/>
      <c r="AY105" s="107"/>
      <c r="AZ105" s="220">
        <f t="shared" si="4"/>
        <v>0</v>
      </c>
      <c r="BA105" s="220">
        <f t="shared" si="5"/>
        <v>0</v>
      </c>
    </row>
    <row r="106" spans="1:53" ht="50.1" customHeight="1" x14ac:dyDescent="0.25">
      <c r="A106" s="17">
        <f t="shared" si="6"/>
        <v>92</v>
      </c>
      <c r="B106" s="229"/>
      <c r="C106" s="222"/>
      <c r="D106" s="112"/>
      <c r="E106" s="128"/>
      <c r="F106" s="183"/>
      <c r="G106" s="130"/>
      <c r="H106" s="131"/>
      <c r="I106" s="132"/>
      <c r="J106" s="189"/>
      <c r="K106" s="133"/>
      <c r="L106" s="134"/>
      <c r="M106" s="334"/>
      <c r="N106" s="343"/>
      <c r="O106" s="192"/>
      <c r="P106" s="191"/>
      <c r="Q106" s="192"/>
      <c r="R106" s="191"/>
      <c r="S106" s="295"/>
      <c r="T106" s="301"/>
      <c r="U106" s="306"/>
      <c r="V106" s="308"/>
      <c r="W106" s="249"/>
      <c r="X106" s="344"/>
      <c r="Y106" s="337"/>
      <c r="Z106" s="33"/>
      <c r="AA106" s="83"/>
      <c r="AB106" s="33"/>
      <c r="AC106" s="83"/>
      <c r="AD106" s="33"/>
      <c r="AE106" s="83"/>
      <c r="AF106" s="33"/>
      <c r="AG106" s="244"/>
      <c r="AH106" s="83"/>
      <c r="AI106" s="246"/>
      <c r="AJ106" s="102"/>
      <c r="AK106" s="92"/>
      <c r="AL106" s="91"/>
      <c r="AM106" s="92"/>
      <c r="AN106" s="351"/>
      <c r="AO106" s="197">
        <f t="shared" si="7"/>
        <v>0</v>
      </c>
      <c r="AP106" s="91"/>
      <c r="AQ106" s="217"/>
      <c r="AR106" s="103"/>
      <c r="AS106" s="264"/>
      <c r="AT106" s="94"/>
      <c r="AU106" s="84"/>
      <c r="AV106" s="136"/>
      <c r="AW106" s="81"/>
      <c r="AX106" s="137"/>
      <c r="AY106" s="138"/>
      <c r="AZ106" s="220">
        <f t="shared" si="4"/>
        <v>0</v>
      </c>
      <c r="BA106" s="220">
        <f t="shared" si="5"/>
        <v>0</v>
      </c>
    </row>
    <row r="107" spans="1:53" ht="50.1" customHeight="1" x14ac:dyDescent="0.25">
      <c r="A107" s="17">
        <f t="shared" si="6"/>
        <v>93</v>
      </c>
      <c r="B107" s="228"/>
      <c r="C107" s="221"/>
      <c r="D107" s="88"/>
      <c r="E107" s="100"/>
      <c r="F107" s="95"/>
      <c r="G107" s="114"/>
      <c r="H107" s="96"/>
      <c r="I107" s="97"/>
      <c r="J107" s="98"/>
      <c r="K107" s="101"/>
      <c r="L107" s="124"/>
      <c r="M107" s="333"/>
      <c r="N107" s="341"/>
      <c r="O107" s="190"/>
      <c r="P107" s="191"/>
      <c r="Q107" s="190"/>
      <c r="R107" s="191"/>
      <c r="S107" s="294"/>
      <c r="T107" s="300"/>
      <c r="U107" s="306"/>
      <c r="V107" s="308"/>
      <c r="W107" s="248"/>
      <c r="X107" s="342"/>
      <c r="Y107" s="337"/>
      <c r="Z107" s="123"/>
      <c r="AA107" s="83"/>
      <c r="AB107" s="123"/>
      <c r="AC107" s="83"/>
      <c r="AD107" s="123"/>
      <c r="AE107" s="83"/>
      <c r="AF107" s="123"/>
      <c r="AG107" s="243"/>
      <c r="AH107" s="33"/>
      <c r="AI107" s="245"/>
      <c r="AJ107" s="125"/>
      <c r="AK107" s="92"/>
      <c r="AL107" s="126"/>
      <c r="AM107" s="91"/>
      <c r="AN107" s="91"/>
      <c r="AO107" s="197">
        <f t="shared" si="7"/>
        <v>0</v>
      </c>
      <c r="AP107" s="126"/>
      <c r="AQ107" s="217"/>
      <c r="AR107" s="201"/>
      <c r="AS107" s="266"/>
      <c r="AT107" s="94"/>
      <c r="AU107" s="84"/>
      <c r="AV107" s="80"/>
      <c r="AW107" s="81"/>
      <c r="AX107" s="77"/>
      <c r="AY107" s="107"/>
      <c r="AZ107" s="220">
        <f t="shared" si="4"/>
        <v>0</v>
      </c>
      <c r="BA107" s="220">
        <f t="shared" si="5"/>
        <v>0</v>
      </c>
    </row>
    <row r="108" spans="1:53" ht="50.1" customHeight="1" x14ac:dyDescent="0.25">
      <c r="A108" s="17">
        <f t="shared" si="6"/>
        <v>94</v>
      </c>
      <c r="B108" s="229"/>
      <c r="C108" s="222"/>
      <c r="D108" s="112"/>
      <c r="E108" s="128"/>
      <c r="F108" s="183"/>
      <c r="G108" s="130"/>
      <c r="H108" s="131"/>
      <c r="I108" s="132"/>
      <c r="J108" s="189"/>
      <c r="K108" s="133"/>
      <c r="L108" s="134"/>
      <c r="M108" s="334"/>
      <c r="N108" s="343"/>
      <c r="O108" s="192"/>
      <c r="P108" s="191"/>
      <c r="Q108" s="192"/>
      <c r="R108" s="191"/>
      <c r="S108" s="295"/>
      <c r="T108" s="301"/>
      <c r="U108" s="306"/>
      <c r="V108" s="308"/>
      <c r="W108" s="249"/>
      <c r="X108" s="344"/>
      <c r="Y108" s="337"/>
      <c r="Z108" s="33"/>
      <c r="AA108" s="83"/>
      <c r="AB108" s="33"/>
      <c r="AC108" s="83"/>
      <c r="AD108" s="33"/>
      <c r="AE108" s="83"/>
      <c r="AF108" s="33"/>
      <c r="AG108" s="244"/>
      <c r="AH108" s="83"/>
      <c r="AI108" s="246"/>
      <c r="AJ108" s="102"/>
      <c r="AK108" s="92"/>
      <c r="AL108" s="91"/>
      <c r="AM108" s="92"/>
      <c r="AN108" s="351"/>
      <c r="AO108" s="197">
        <f t="shared" si="7"/>
        <v>0</v>
      </c>
      <c r="AP108" s="91"/>
      <c r="AQ108" s="217"/>
      <c r="AR108" s="103"/>
      <c r="AS108" s="264"/>
      <c r="AT108" s="94"/>
      <c r="AU108" s="84"/>
      <c r="AV108" s="136"/>
      <c r="AW108" s="81"/>
      <c r="AX108" s="137"/>
      <c r="AY108" s="138"/>
      <c r="AZ108" s="220">
        <f t="shared" si="4"/>
        <v>0</v>
      </c>
      <c r="BA108" s="220">
        <f t="shared" si="5"/>
        <v>0</v>
      </c>
    </row>
    <row r="109" spans="1:53" ht="50.1" customHeight="1" x14ac:dyDescent="0.25">
      <c r="A109" s="17">
        <f t="shared" si="6"/>
        <v>95</v>
      </c>
      <c r="B109" s="228"/>
      <c r="C109" s="221"/>
      <c r="D109" s="88"/>
      <c r="E109" s="100"/>
      <c r="F109" s="95"/>
      <c r="G109" s="114"/>
      <c r="H109" s="96"/>
      <c r="I109" s="97"/>
      <c r="J109" s="98"/>
      <c r="K109" s="101"/>
      <c r="L109" s="124"/>
      <c r="M109" s="333"/>
      <c r="N109" s="341"/>
      <c r="O109" s="190"/>
      <c r="P109" s="191"/>
      <c r="Q109" s="190"/>
      <c r="R109" s="191"/>
      <c r="S109" s="294"/>
      <c r="T109" s="300"/>
      <c r="U109" s="306"/>
      <c r="V109" s="308"/>
      <c r="W109" s="248"/>
      <c r="X109" s="342"/>
      <c r="Y109" s="337"/>
      <c r="Z109" s="123"/>
      <c r="AA109" s="83"/>
      <c r="AB109" s="123"/>
      <c r="AC109" s="83"/>
      <c r="AD109" s="123"/>
      <c r="AE109" s="83"/>
      <c r="AF109" s="123"/>
      <c r="AG109" s="243"/>
      <c r="AH109" s="33"/>
      <c r="AI109" s="245"/>
      <c r="AJ109" s="125"/>
      <c r="AK109" s="92"/>
      <c r="AL109" s="126"/>
      <c r="AM109" s="91"/>
      <c r="AN109" s="91"/>
      <c r="AO109" s="197">
        <f t="shared" si="7"/>
        <v>0</v>
      </c>
      <c r="AP109" s="126"/>
      <c r="AQ109" s="217"/>
      <c r="AR109" s="200"/>
      <c r="AS109" s="263"/>
      <c r="AT109" s="94"/>
      <c r="AU109" s="84"/>
      <c r="AV109" s="80"/>
      <c r="AW109" s="81"/>
      <c r="AX109" s="77"/>
      <c r="AY109" s="107"/>
      <c r="AZ109" s="220">
        <f t="shared" si="4"/>
        <v>0</v>
      </c>
      <c r="BA109" s="220">
        <f t="shared" si="5"/>
        <v>0</v>
      </c>
    </row>
    <row r="110" spans="1:53" ht="50.1" customHeight="1" x14ac:dyDescent="0.25">
      <c r="A110" s="17">
        <f t="shared" si="6"/>
        <v>96</v>
      </c>
      <c r="B110" s="229"/>
      <c r="C110" s="222"/>
      <c r="D110" s="112"/>
      <c r="E110" s="128"/>
      <c r="F110" s="183"/>
      <c r="G110" s="130"/>
      <c r="H110" s="131"/>
      <c r="I110" s="132"/>
      <c r="J110" s="189"/>
      <c r="K110" s="133"/>
      <c r="L110" s="134"/>
      <c r="M110" s="334"/>
      <c r="N110" s="343"/>
      <c r="O110" s="192"/>
      <c r="P110" s="191"/>
      <c r="Q110" s="192"/>
      <c r="R110" s="191"/>
      <c r="S110" s="295"/>
      <c r="T110" s="301"/>
      <c r="U110" s="306"/>
      <c r="V110" s="308"/>
      <c r="W110" s="249"/>
      <c r="X110" s="344"/>
      <c r="Y110" s="337"/>
      <c r="Z110" s="33"/>
      <c r="AA110" s="83"/>
      <c r="AB110" s="33"/>
      <c r="AC110" s="83"/>
      <c r="AD110" s="33"/>
      <c r="AE110" s="83"/>
      <c r="AF110" s="33"/>
      <c r="AG110" s="244"/>
      <c r="AH110" s="83"/>
      <c r="AI110" s="246"/>
      <c r="AJ110" s="102"/>
      <c r="AK110" s="92"/>
      <c r="AL110" s="91"/>
      <c r="AM110" s="92"/>
      <c r="AN110" s="351"/>
      <c r="AO110" s="197">
        <f t="shared" si="7"/>
        <v>0</v>
      </c>
      <c r="AP110" s="91"/>
      <c r="AQ110" s="217"/>
      <c r="AR110" s="103"/>
      <c r="AS110" s="264"/>
      <c r="AT110" s="94"/>
      <c r="AU110" s="84"/>
      <c r="AV110" s="136"/>
      <c r="AW110" s="81"/>
      <c r="AX110" s="137"/>
      <c r="AY110" s="138"/>
      <c r="AZ110" s="220">
        <f t="shared" si="4"/>
        <v>0</v>
      </c>
      <c r="BA110" s="220">
        <f t="shared" si="5"/>
        <v>0</v>
      </c>
    </row>
    <row r="111" spans="1:53" ht="50.1" customHeight="1" x14ac:dyDescent="0.25">
      <c r="A111" s="17">
        <f t="shared" si="6"/>
        <v>97</v>
      </c>
      <c r="B111" s="228"/>
      <c r="C111" s="221"/>
      <c r="D111" s="88"/>
      <c r="E111" s="100"/>
      <c r="F111" s="95"/>
      <c r="G111" s="114"/>
      <c r="H111" s="96"/>
      <c r="I111" s="97"/>
      <c r="J111" s="98"/>
      <c r="K111" s="101"/>
      <c r="L111" s="124"/>
      <c r="M111" s="333"/>
      <c r="N111" s="341"/>
      <c r="O111" s="190"/>
      <c r="P111" s="191"/>
      <c r="Q111" s="190"/>
      <c r="R111" s="191"/>
      <c r="S111" s="294"/>
      <c r="T111" s="300"/>
      <c r="U111" s="306"/>
      <c r="V111" s="308"/>
      <c r="W111" s="248"/>
      <c r="X111" s="342"/>
      <c r="Y111" s="337"/>
      <c r="Z111" s="123"/>
      <c r="AA111" s="83"/>
      <c r="AB111" s="123"/>
      <c r="AC111" s="83"/>
      <c r="AD111" s="123"/>
      <c r="AE111" s="83"/>
      <c r="AF111" s="123"/>
      <c r="AG111" s="243"/>
      <c r="AH111" s="33"/>
      <c r="AI111" s="245"/>
      <c r="AJ111" s="125"/>
      <c r="AK111" s="92"/>
      <c r="AL111" s="126"/>
      <c r="AM111" s="91"/>
      <c r="AN111" s="91"/>
      <c r="AO111" s="197">
        <f t="shared" si="7"/>
        <v>0</v>
      </c>
      <c r="AP111" s="126"/>
      <c r="AQ111" s="217"/>
      <c r="AR111" s="200"/>
      <c r="AS111" s="263"/>
      <c r="AT111" s="94"/>
      <c r="AU111" s="84"/>
      <c r="AV111" s="80"/>
      <c r="AW111" s="81"/>
      <c r="AX111" s="77"/>
      <c r="AY111" s="107"/>
      <c r="AZ111" s="220">
        <f t="shared" si="4"/>
        <v>0</v>
      </c>
      <c r="BA111" s="220">
        <f t="shared" si="5"/>
        <v>0</v>
      </c>
    </row>
    <row r="112" spans="1:53" ht="50.1" customHeight="1" x14ac:dyDescent="0.25">
      <c r="A112" s="17">
        <f t="shared" si="6"/>
        <v>98</v>
      </c>
      <c r="B112" s="229"/>
      <c r="C112" s="222"/>
      <c r="D112" s="112"/>
      <c r="E112" s="128"/>
      <c r="F112" s="183"/>
      <c r="G112" s="130"/>
      <c r="H112" s="131"/>
      <c r="I112" s="132"/>
      <c r="J112" s="189"/>
      <c r="K112" s="133"/>
      <c r="L112" s="134"/>
      <c r="M112" s="334"/>
      <c r="N112" s="343"/>
      <c r="O112" s="192"/>
      <c r="P112" s="191"/>
      <c r="Q112" s="192"/>
      <c r="R112" s="191"/>
      <c r="S112" s="295"/>
      <c r="T112" s="301"/>
      <c r="U112" s="306"/>
      <c r="V112" s="308"/>
      <c r="W112" s="249"/>
      <c r="X112" s="344"/>
      <c r="Y112" s="337"/>
      <c r="Z112" s="33"/>
      <c r="AA112" s="83"/>
      <c r="AB112" s="33"/>
      <c r="AC112" s="83"/>
      <c r="AD112" s="33"/>
      <c r="AE112" s="83"/>
      <c r="AF112" s="33"/>
      <c r="AG112" s="244"/>
      <c r="AH112" s="83"/>
      <c r="AI112" s="246"/>
      <c r="AJ112" s="102"/>
      <c r="AK112" s="92"/>
      <c r="AL112" s="91"/>
      <c r="AM112" s="92"/>
      <c r="AN112" s="351"/>
      <c r="AO112" s="197">
        <f t="shared" si="7"/>
        <v>0</v>
      </c>
      <c r="AP112" s="91"/>
      <c r="AQ112" s="217"/>
      <c r="AR112" s="103"/>
      <c r="AS112" s="264"/>
      <c r="AT112" s="94"/>
      <c r="AU112" s="84"/>
      <c r="AV112" s="136"/>
      <c r="AW112" s="81"/>
      <c r="AX112" s="137"/>
      <c r="AY112" s="138"/>
      <c r="AZ112" s="220">
        <f t="shared" si="4"/>
        <v>0</v>
      </c>
      <c r="BA112" s="220">
        <f t="shared" si="5"/>
        <v>0</v>
      </c>
    </row>
    <row r="113" spans="1:53" ht="50.1" customHeight="1" x14ac:dyDescent="0.25">
      <c r="A113" s="17">
        <f t="shared" si="6"/>
        <v>99</v>
      </c>
      <c r="B113" s="228"/>
      <c r="C113" s="221"/>
      <c r="D113" s="88"/>
      <c r="E113" s="100"/>
      <c r="F113" s="95"/>
      <c r="G113" s="114"/>
      <c r="H113" s="96"/>
      <c r="I113" s="97"/>
      <c r="J113" s="98"/>
      <c r="K113" s="101"/>
      <c r="L113" s="124"/>
      <c r="M113" s="333"/>
      <c r="N113" s="341"/>
      <c r="O113" s="190"/>
      <c r="P113" s="191"/>
      <c r="Q113" s="190"/>
      <c r="R113" s="191"/>
      <c r="S113" s="294"/>
      <c r="T113" s="300"/>
      <c r="U113" s="306"/>
      <c r="V113" s="308"/>
      <c r="W113" s="248"/>
      <c r="X113" s="342"/>
      <c r="Y113" s="337"/>
      <c r="Z113" s="123"/>
      <c r="AA113" s="83"/>
      <c r="AB113" s="123"/>
      <c r="AC113" s="83"/>
      <c r="AD113" s="123"/>
      <c r="AE113" s="83"/>
      <c r="AF113" s="123"/>
      <c r="AG113" s="243"/>
      <c r="AH113" s="33"/>
      <c r="AI113" s="245"/>
      <c r="AJ113" s="125"/>
      <c r="AK113" s="92"/>
      <c r="AL113" s="126"/>
      <c r="AM113" s="91"/>
      <c r="AN113" s="91"/>
      <c r="AO113" s="197">
        <f t="shared" si="7"/>
        <v>0</v>
      </c>
      <c r="AP113" s="126"/>
      <c r="AQ113" s="217"/>
      <c r="AR113" s="201"/>
      <c r="AS113" s="266"/>
      <c r="AT113" s="94"/>
      <c r="AU113" s="84"/>
      <c r="AV113" s="80"/>
      <c r="AW113" s="81"/>
      <c r="AX113" s="77"/>
      <c r="AY113" s="107"/>
      <c r="AZ113" s="220">
        <f t="shared" si="4"/>
        <v>0</v>
      </c>
      <c r="BA113" s="220">
        <f t="shared" si="5"/>
        <v>0</v>
      </c>
    </row>
    <row r="114" spans="1:53" ht="50.1" customHeight="1" x14ac:dyDescent="0.25">
      <c r="A114" s="17">
        <f t="shared" si="6"/>
        <v>100</v>
      </c>
      <c r="B114" s="229"/>
      <c r="C114" s="222"/>
      <c r="D114" s="112"/>
      <c r="E114" s="128"/>
      <c r="F114" s="183"/>
      <c r="G114" s="130"/>
      <c r="H114" s="131"/>
      <c r="I114" s="132"/>
      <c r="J114" s="189"/>
      <c r="K114" s="133"/>
      <c r="L114" s="134"/>
      <c r="M114" s="334"/>
      <c r="N114" s="343"/>
      <c r="O114" s="192"/>
      <c r="P114" s="191"/>
      <c r="Q114" s="192"/>
      <c r="R114" s="191"/>
      <c r="S114" s="295"/>
      <c r="T114" s="301"/>
      <c r="U114" s="306"/>
      <c r="V114" s="308"/>
      <c r="W114" s="249"/>
      <c r="X114" s="344"/>
      <c r="Y114" s="337"/>
      <c r="Z114" s="33"/>
      <c r="AA114" s="83"/>
      <c r="AB114" s="33"/>
      <c r="AC114" s="83"/>
      <c r="AD114" s="33"/>
      <c r="AE114" s="83"/>
      <c r="AF114" s="33"/>
      <c r="AG114" s="244"/>
      <c r="AH114" s="83"/>
      <c r="AI114" s="246"/>
      <c r="AJ114" s="102"/>
      <c r="AK114" s="92"/>
      <c r="AL114" s="91"/>
      <c r="AM114" s="92"/>
      <c r="AN114" s="351"/>
      <c r="AO114" s="197">
        <f t="shared" si="7"/>
        <v>0</v>
      </c>
      <c r="AP114" s="91"/>
      <c r="AQ114" s="217"/>
      <c r="AR114" s="103"/>
      <c r="AS114" s="264"/>
      <c r="AT114" s="94"/>
      <c r="AU114" s="84"/>
      <c r="AV114" s="136"/>
      <c r="AW114" s="81"/>
      <c r="AX114" s="137"/>
      <c r="AY114" s="138"/>
      <c r="AZ114" s="220">
        <f t="shared" si="4"/>
        <v>0</v>
      </c>
      <c r="BA114" s="220">
        <f t="shared" si="5"/>
        <v>0</v>
      </c>
    </row>
    <row r="115" spans="1:53" ht="50.1" customHeight="1" x14ac:dyDescent="0.25">
      <c r="A115" s="17">
        <f t="shared" si="6"/>
        <v>101</v>
      </c>
      <c r="B115" s="228"/>
      <c r="C115" s="221"/>
      <c r="D115" s="88"/>
      <c r="E115" s="100"/>
      <c r="F115" s="95"/>
      <c r="G115" s="114"/>
      <c r="H115" s="96"/>
      <c r="I115" s="97"/>
      <c r="J115" s="98"/>
      <c r="K115" s="101"/>
      <c r="L115" s="124"/>
      <c r="M115" s="333"/>
      <c r="N115" s="341"/>
      <c r="O115" s="190"/>
      <c r="P115" s="191"/>
      <c r="Q115" s="190"/>
      <c r="R115" s="191"/>
      <c r="S115" s="294"/>
      <c r="T115" s="300"/>
      <c r="U115" s="306"/>
      <c r="V115" s="308"/>
      <c r="W115" s="248"/>
      <c r="X115" s="342"/>
      <c r="Y115" s="337"/>
      <c r="Z115" s="123"/>
      <c r="AA115" s="83"/>
      <c r="AB115" s="123"/>
      <c r="AC115" s="83"/>
      <c r="AD115" s="123"/>
      <c r="AE115" s="83"/>
      <c r="AF115" s="123"/>
      <c r="AG115" s="243"/>
      <c r="AH115" s="33"/>
      <c r="AI115" s="245"/>
      <c r="AJ115" s="125"/>
      <c r="AK115" s="92"/>
      <c r="AL115" s="126"/>
      <c r="AM115" s="91"/>
      <c r="AN115" s="91"/>
      <c r="AO115" s="197">
        <f t="shared" si="7"/>
        <v>0</v>
      </c>
      <c r="AP115" s="126"/>
      <c r="AQ115" s="217"/>
      <c r="AR115" s="200"/>
      <c r="AS115" s="263"/>
      <c r="AT115" s="94"/>
      <c r="AU115" s="84"/>
      <c r="AV115" s="80"/>
      <c r="AW115" s="81"/>
      <c r="AX115" s="77"/>
      <c r="AY115" s="107"/>
      <c r="AZ115" s="220">
        <f t="shared" si="4"/>
        <v>0</v>
      </c>
      <c r="BA115" s="220">
        <f t="shared" si="5"/>
        <v>0</v>
      </c>
    </row>
    <row r="116" spans="1:53" ht="50.1" customHeight="1" x14ac:dyDescent="0.25">
      <c r="A116" s="17">
        <f t="shared" si="6"/>
        <v>102</v>
      </c>
      <c r="B116" s="229"/>
      <c r="C116" s="222"/>
      <c r="D116" s="112"/>
      <c r="E116" s="128"/>
      <c r="F116" s="183"/>
      <c r="G116" s="130"/>
      <c r="H116" s="131"/>
      <c r="I116" s="132"/>
      <c r="J116" s="189"/>
      <c r="K116" s="133"/>
      <c r="L116" s="134"/>
      <c r="M116" s="334"/>
      <c r="N116" s="343"/>
      <c r="O116" s="192"/>
      <c r="P116" s="191"/>
      <c r="Q116" s="192"/>
      <c r="R116" s="191"/>
      <c r="S116" s="295"/>
      <c r="T116" s="301"/>
      <c r="U116" s="306"/>
      <c r="V116" s="308"/>
      <c r="W116" s="249"/>
      <c r="X116" s="344"/>
      <c r="Y116" s="337"/>
      <c r="Z116" s="33"/>
      <c r="AA116" s="83"/>
      <c r="AB116" s="33"/>
      <c r="AC116" s="83"/>
      <c r="AD116" s="33"/>
      <c r="AE116" s="83"/>
      <c r="AF116" s="33"/>
      <c r="AG116" s="244"/>
      <c r="AH116" s="83"/>
      <c r="AI116" s="246"/>
      <c r="AJ116" s="102"/>
      <c r="AK116" s="92"/>
      <c r="AL116" s="91"/>
      <c r="AM116" s="92"/>
      <c r="AN116" s="351"/>
      <c r="AO116" s="197">
        <f t="shared" si="7"/>
        <v>0</v>
      </c>
      <c r="AP116" s="91"/>
      <c r="AQ116" s="217"/>
      <c r="AR116" s="103"/>
      <c r="AS116" s="264"/>
      <c r="AT116" s="94"/>
      <c r="AU116" s="84"/>
      <c r="AV116" s="136"/>
      <c r="AW116" s="81"/>
      <c r="AX116" s="137"/>
      <c r="AY116" s="138"/>
      <c r="AZ116" s="220">
        <f t="shared" si="4"/>
        <v>0</v>
      </c>
      <c r="BA116" s="220">
        <f t="shared" si="5"/>
        <v>0</v>
      </c>
    </row>
    <row r="117" spans="1:53" ht="50.1" customHeight="1" x14ac:dyDescent="0.25">
      <c r="A117" s="17">
        <f t="shared" si="6"/>
        <v>103</v>
      </c>
      <c r="B117" s="228"/>
      <c r="C117" s="221"/>
      <c r="D117" s="88"/>
      <c r="E117" s="100"/>
      <c r="F117" s="95"/>
      <c r="G117" s="114"/>
      <c r="H117" s="96"/>
      <c r="I117" s="97"/>
      <c r="J117" s="98"/>
      <c r="K117" s="101"/>
      <c r="L117" s="124"/>
      <c r="M117" s="333"/>
      <c r="N117" s="341"/>
      <c r="O117" s="190"/>
      <c r="P117" s="191"/>
      <c r="Q117" s="190"/>
      <c r="R117" s="191"/>
      <c r="S117" s="294"/>
      <c r="T117" s="300"/>
      <c r="U117" s="306"/>
      <c r="V117" s="308"/>
      <c r="W117" s="248"/>
      <c r="X117" s="342"/>
      <c r="Y117" s="337"/>
      <c r="Z117" s="123"/>
      <c r="AA117" s="83"/>
      <c r="AB117" s="123"/>
      <c r="AC117" s="83"/>
      <c r="AD117" s="123"/>
      <c r="AE117" s="83"/>
      <c r="AF117" s="123"/>
      <c r="AG117" s="243"/>
      <c r="AH117" s="33"/>
      <c r="AI117" s="245"/>
      <c r="AJ117" s="125"/>
      <c r="AK117" s="92"/>
      <c r="AL117" s="126"/>
      <c r="AM117" s="91"/>
      <c r="AN117" s="91"/>
      <c r="AO117" s="197">
        <f t="shared" si="7"/>
        <v>0</v>
      </c>
      <c r="AP117" s="126"/>
      <c r="AQ117" s="217"/>
      <c r="AR117" s="200"/>
      <c r="AS117" s="263"/>
      <c r="AT117" s="94"/>
      <c r="AU117" s="84"/>
      <c r="AV117" s="80"/>
      <c r="AW117" s="81"/>
      <c r="AX117" s="77"/>
      <c r="AY117" s="107"/>
      <c r="AZ117" s="220">
        <f t="shared" si="4"/>
        <v>0</v>
      </c>
      <c r="BA117" s="220">
        <f t="shared" si="5"/>
        <v>0</v>
      </c>
    </row>
    <row r="118" spans="1:53" ht="50.1" customHeight="1" x14ac:dyDescent="0.25">
      <c r="A118" s="17">
        <f t="shared" si="6"/>
        <v>104</v>
      </c>
      <c r="B118" s="229"/>
      <c r="C118" s="222"/>
      <c r="D118" s="112"/>
      <c r="E118" s="128"/>
      <c r="F118" s="183"/>
      <c r="G118" s="130"/>
      <c r="H118" s="131"/>
      <c r="I118" s="132"/>
      <c r="J118" s="189"/>
      <c r="K118" s="133"/>
      <c r="L118" s="134"/>
      <c r="M118" s="334"/>
      <c r="N118" s="343"/>
      <c r="O118" s="192"/>
      <c r="P118" s="191"/>
      <c r="Q118" s="192"/>
      <c r="R118" s="191"/>
      <c r="S118" s="295"/>
      <c r="T118" s="301"/>
      <c r="U118" s="306"/>
      <c r="V118" s="308"/>
      <c r="W118" s="249"/>
      <c r="X118" s="344"/>
      <c r="Y118" s="337"/>
      <c r="Z118" s="33"/>
      <c r="AA118" s="83"/>
      <c r="AB118" s="33"/>
      <c r="AC118" s="83"/>
      <c r="AD118" s="33"/>
      <c r="AE118" s="83"/>
      <c r="AF118" s="33"/>
      <c r="AG118" s="244"/>
      <c r="AH118" s="83"/>
      <c r="AI118" s="246"/>
      <c r="AJ118" s="102"/>
      <c r="AK118" s="92"/>
      <c r="AL118" s="91"/>
      <c r="AM118" s="92"/>
      <c r="AN118" s="351"/>
      <c r="AO118" s="197">
        <f t="shared" si="7"/>
        <v>0</v>
      </c>
      <c r="AP118" s="91"/>
      <c r="AQ118" s="217"/>
      <c r="AR118" s="103"/>
      <c r="AS118" s="264"/>
      <c r="AT118" s="94"/>
      <c r="AU118" s="84"/>
      <c r="AV118" s="136"/>
      <c r="AW118" s="81"/>
      <c r="AX118" s="137"/>
      <c r="AY118" s="138"/>
      <c r="AZ118" s="220">
        <f t="shared" si="4"/>
        <v>0</v>
      </c>
      <c r="BA118" s="220">
        <f t="shared" si="5"/>
        <v>0</v>
      </c>
    </row>
    <row r="119" spans="1:53" ht="50.1" customHeight="1" x14ac:dyDescent="0.25">
      <c r="A119" s="17">
        <f t="shared" si="6"/>
        <v>105</v>
      </c>
      <c r="B119" s="228"/>
      <c r="C119" s="221"/>
      <c r="D119" s="88"/>
      <c r="E119" s="100"/>
      <c r="F119" s="95"/>
      <c r="G119" s="114"/>
      <c r="H119" s="96"/>
      <c r="I119" s="97"/>
      <c r="J119" s="98"/>
      <c r="K119" s="101"/>
      <c r="L119" s="124"/>
      <c r="M119" s="333"/>
      <c r="N119" s="341"/>
      <c r="O119" s="190"/>
      <c r="P119" s="191"/>
      <c r="Q119" s="190"/>
      <c r="R119" s="191"/>
      <c r="S119" s="294"/>
      <c r="T119" s="300"/>
      <c r="U119" s="306"/>
      <c r="V119" s="308"/>
      <c r="W119" s="248"/>
      <c r="X119" s="342"/>
      <c r="Y119" s="337"/>
      <c r="Z119" s="123"/>
      <c r="AA119" s="83"/>
      <c r="AB119" s="123"/>
      <c r="AC119" s="83"/>
      <c r="AD119" s="123"/>
      <c r="AE119" s="83"/>
      <c r="AF119" s="123"/>
      <c r="AG119" s="243"/>
      <c r="AH119" s="33"/>
      <c r="AI119" s="245"/>
      <c r="AJ119" s="198"/>
      <c r="AK119" s="92"/>
      <c r="AL119" s="126"/>
      <c r="AM119" s="91"/>
      <c r="AN119" s="91"/>
      <c r="AO119" s="197">
        <f t="shared" si="7"/>
        <v>0</v>
      </c>
      <c r="AP119" s="126"/>
      <c r="AQ119" s="217"/>
      <c r="AR119" s="201"/>
      <c r="AS119" s="266"/>
      <c r="AT119" s="94"/>
      <c r="AU119" s="84"/>
      <c r="AV119" s="80"/>
      <c r="AW119" s="81"/>
      <c r="AX119" s="77"/>
      <c r="AY119" s="107"/>
      <c r="AZ119" s="220">
        <f t="shared" si="4"/>
        <v>0</v>
      </c>
      <c r="BA119" s="220">
        <f t="shared" si="5"/>
        <v>0</v>
      </c>
    </row>
    <row r="120" spans="1:53" ht="50.1" customHeight="1" x14ac:dyDescent="0.25">
      <c r="A120" s="17">
        <f t="shared" si="6"/>
        <v>106</v>
      </c>
      <c r="B120" s="229"/>
      <c r="C120" s="222"/>
      <c r="D120" s="112"/>
      <c r="E120" s="128"/>
      <c r="F120" s="183"/>
      <c r="G120" s="130"/>
      <c r="H120" s="131"/>
      <c r="I120" s="132"/>
      <c r="J120" s="189"/>
      <c r="K120" s="133"/>
      <c r="L120" s="134"/>
      <c r="M120" s="334"/>
      <c r="N120" s="343"/>
      <c r="O120" s="192"/>
      <c r="P120" s="191"/>
      <c r="Q120" s="192"/>
      <c r="R120" s="191"/>
      <c r="S120" s="295"/>
      <c r="T120" s="301"/>
      <c r="U120" s="306"/>
      <c r="V120" s="308"/>
      <c r="W120" s="249"/>
      <c r="X120" s="344"/>
      <c r="Y120" s="337"/>
      <c r="Z120" s="33"/>
      <c r="AA120" s="83"/>
      <c r="AB120" s="33"/>
      <c r="AC120" s="83"/>
      <c r="AD120" s="33"/>
      <c r="AE120" s="83"/>
      <c r="AF120" s="33"/>
      <c r="AG120" s="244"/>
      <c r="AH120" s="83"/>
      <c r="AI120" s="246"/>
      <c r="AJ120" s="195"/>
      <c r="AK120" s="92"/>
      <c r="AL120" s="91"/>
      <c r="AM120" s="92"/>
      <c r="AN120" s="351"/>
      <c r="AO120" s="197">
        <f t="shared" si="7"/>
        <v>0</v>
      </c>
      <c r="AP120" s="91"/>
      <c r="AQ120" s="217"/>
      <c r="AR120" s="196"/>
      <c r="AS120" s="265"/>
      <c r="AT120" s="94"/>
      <c r="AU120" s="84"/>
      <c r="AV120" s="136"/>
      <c r="AW120" s="81"/>
      <c r="AX120" s="137"/>
      <c r="AY120" s="138"/>
      <c r="AZ120" s="220">
        <f t="shared" si="4"/>
        <v>0</v>
      </c>
      <c r="BA120" s="220">
        <f t="shared" si="5"/>
        <v>0</v>
      </c>
    </row>
    <row r="121" spans="1:53" ht="50.1" customHeight="1" x14ac:dyDescent="0.25">
      <c r="A121" s="17">
        <f t="shared" si="6"/>
        <v>107</v>
      </c>
      <c r="B121" s="228"/>
      <c r="C121" s="221"/>
      <c r="D121" s="88"/>
      <c r="E121" s="100"/>
      <c r="F121" s="95"/>
      <c r="G121" s="114"/>
      <c r="H121" s="96"/>
      <c r="I121" s="97"/>
      <c r="J121" s="98"/>
      <c r="K121" s="101"/>
      <c r="L121" s="124"/>
      <c r="M121" s="333"/>
      <c r="N121" s="341"/>
      <c r="O121" s="190"/>
      <c r="P121" s="191"/>
      <c r="Q121" s="190"/>
      <c r="R121" s="191"/>
      <c r="S121" s="294"/>
      <c r="T121" s="300"/>
      <c r="U121" s="306"/>
      <c r="V121" s="308"/>
      <c r="W121" s="248"/>
      <c r="X121" s="342"/>
      <c r="Y121" s="337"/>
      <c r="Z121" s="123"/>
      <c r="AA121" s="83"/>
      <c r="AB121" s="123"/>
      <c r="AC121" s="83"/>
      <c r="AD121" s="123"/>
      <c r="AE121" s="83"/>
      <c r="AF121" s="123"/>
      <c r="AG121" s="243"/>
      <c r="AH121" s="33"/>
      <c r="AI121" s="245"/>
      <c r="AJ121" s="125"/>
      <c r="AK121" s="92"/>
      <c r="AL121" s="126"/>
      <c r="AM121" s="91"/>
      <c r="AN121" s="91"/>
      <c r="AO121" s="197">
        <f t="shared" si="7"/>
        <v>0</v>
      </c>
      <c r="AP121" s="126"/>
      <c r="AQ121" s="217"/>
      <c r="AR121" s="201"/>
      <c r="AS121" s="266"/>
      <c r="AT121" s="94"/>
      <c r="AU121" s="84"/>
      <c r="AV121" s="80"/>
      <c r="AW121" s="81"/>
      <c r="AX121" s="77"/>
      <c r="AY121" s="107"/>
      <c r="AZ121" s="220">
        <f t="shared" si="4"/>
        <v>0</v>
      </c>
      <c r="BA121" s="220">
        <f t="shared" si="5"/>
        <v>0</v>
      </c>
    </row>
    <row r="122" spans="1:53" ht="50.1" customHeight="1" x14ac:dyDescent="0.25">
      <c r="A122" s="17">
        <f t="shared" si="6"/>
        <v>108</v>
      </c>
      <c r="B122" s="229"/>
      <c r="C122" s="222"/>
      <c r="D122" s="112"/>
      <c r="E122" s="128"/>
      <c r="F122" s="183"/>
      <c r="G122" s="130"/>
      <c r="H122" s="131"/>
      <c r="I122" s="132"/>
      <c r="J122" s="189"/>
      <c r="K122" s="133"/>
      <c r="L122" s="134"/>
      <c r="M122" s="334"/>
      <c r="N122" s="343"/>
      <c r="O122" s="192"/>
      <c r="P122" s="191"/>
      <c r="Q122" s="192"/>
      <c r="R122" s="191"/>
      <c r="S122" s="295"/>
      <c r="T122" s="301"/>
      <c r="U122" s="306"/>
      <c r="V122" s="308"/>
      <c r="W122" s="249"/>
      <c r="X122" s="344"/>
      <c r="Y122" s="337"/>
      <c r="Z122" s="33"/>
      <c r="AA122" s="83"/>
      <c r="AB122" s="33"/>
      <c r="AC122" s="83"/>
      <c r="AD122" s="33"/>
      <c r="AE122" s="83"/>
      <c r="AF122" s="33"/>
      <c r="AG122" s="244"/>
      <c r="AH122" s="83"/>
      <c r="AI122" s="246"/>
      <c r="AJ122" s="102"/>
      <c r="AK122" s="92"/>
      <c r="AL122" s="91"/>
      <c r="AM122" s="92"/>
      <c r="AN122" s="351"/>
      <c r="AO122" s="197">
        <f t="shared" si="7"/>
        <v>0</v>
      </c>
      <c r="AP122" s="91"/>
      <c r="AQ122" s="217"/>
      <c r="AR122" s="196"/>
      <c r="AS122" s="265"/>
      <c r="AT122" s="94"/>
      <c r="AU122" s="84"/>
      <c r="AV122" s="136"/>
      <c r="AW122" s="81"/>
      <c r="AX122" s="137"/>
      <c r="AY122" s="138"/>
      <c r="AZ122" s="220">
        <f t="shared" si="4"/>
        <v>0</v>
      </c>
      <c r="BA122" s="220">
        <f t="shared" si="5"/>
        <v>0</v>
      </c>
    </row>
    <row r="123" spans="1:53" ht="50.1" customHeight="1" x14ac:dyDescent="0.25">
      <c r="A123" s="17">
        <f t="shared" si="6"/>
        <v>109</v>
      </c>
      <c r="B123" s="228"/>
      <c r="C123" s="221"/>
      <c r="D123" s="88"/>
      <c r="E123" s="100"/>
      <c r="F123" s="95"/>
      <c r="G123" s="114"/>
      <c r="H123" s="96"/>
      <c r="I123" s="97"/>
      <c r="J123" s="98"/>
      <c r="K123" s="101"/>
      <c r="L123" s="124"/>
      <c r="M123" s="333"/>
      <c r="N123" s="341"/>
      <c r="O123" s="190"/>
      <c r="P123" s="191"/>
      <c r="Q123" s="190"/>
      <c r="R123" s="191"/>
      <c r="S123" s="294"/>
      <c r="T123" s="300"/>
      <c r="U123" s="306"/>
      <c r="V123" s="308"/>
      <c r="W123" s="248"/>
      <c r="X123" s="342"/>
      <c r="Y123" s="337"/>
      <c r="Z123" s="123"/>
      <c r="AA123" s="83"/>
      <c r="AB123" s="123"/>
      <c r="AC123" s="83"/>
      <c r="AD123" s="123"/>
      <c r="AE123" s="83"/>
      <c r="AF123" s="123"/>
      <c r="AG123" s="243"/>
      <c r="AH123" s="33"/>
      <c r="AI123" s="245"/>
      <c r="AJ123" s="125"/>
      <c r="AK123" s="92"/>
      <c r="AL123" s="126"/>
      <c r="AM123" s="91"/>
      <c r="AN123" s="91"/>
      <c r="AO123" s="197">
        <f t="shared" si="7"/>
        <v>0</v>
      </c>
      <c r="AP123" s="126"/>
      <c r="AQ123" s="217"/>
      <c r="AR123" s="201"/>
      <c r="AS123" s="266"/>
      <c r="AT123" s="94"/>
      <c r="AU123" s="84"/>
      <c r="AV123" s="80"/>
      <c r="AW123" s="81"/>
      <c r="AX123" s="77"/>
      <c r="AY123" s="107"/>
      <c r="AZ123" s="220">
        <f t="shared" si="4"/>
        <v>0</v>
      </c>
      <c r="BA123" s="220">
        <f t="shared" si="5"/>
        <v>0</v>
      </c>
    </row>
    <row r="124" spans="1:53" ht="50.1" customHeight="1" x14ac:dyDescent="0.25">
      <c r="A124" s="17">
        <f t="shared" si="6"/>
        <v>110</v>
      </c>
      <c r="B124" s="229"/>
      <c r="C124" s="222"/>
      <c r="D124" s="112"/>
      <c r="E124" s="128"/>
      <c r="F124" s="183"/>
      <c r="G124" s="130"/>
      <c r="H124" s="131"/>
      <c r="I124" s="132"/>
      <c r="J124" s="189"/>
      <c r="K124" s="133"/>
      <c r="L124" s="134"/>
      <c r="M124" s="334"/>
      <c r="N124" s="343"/>
      <c r="O124" s="193"/>
      <c r="P124" s="191"/>
      <c r="Q124" s="193"/>
      <c r="R124" s="191"/>
      <c r="S124" s="296"/>
      <c r="T124" s="302"/>
      <c r="U124" s="306"/>
      <c r="V124" s="308"/>
      <c r="W124" s="249"/>
      <c r="X124" s="344"/>
      <c r="Y124" s="337"/>
      <c r="Z124" s="33"/>
      <c r="AA124" s="83"/>
      <c r="AB124" s="33"/>
      <c r="AC124" s="83"/>
      <c r="AD124" s="33"/>
      <c r="AE124" s="83"/>
      <c r="AF124" s="33"/>
      <c r="AG124" s="244"/>
      <c r="AH124" s="83"/>
      <c r="AI124" s="246"/>
      <c r="AJ124" s="102"/>
      <c r="AK124" s="92"/>
      <c r="AL124" s="91"/>
      <c r="AM124" s="92"/>
      <c r="AN124" s="351"/>
      <c r="AO124" s="197">
        <f t="shared" si="7"/>
        <v>0</v>
      </c>
      <c r="AP124" s="91"/>
      <c r="AQ124" s="217"/>
      <c r="AR124" s="196"/>
      <c r="AS124" s="265"/>
      <c r="AT124" s="94"/>
      <c r="AU124" s="84"/>
      <c r="AV124" s="136"/>
      <c r="AW124" s="81"/>
      <c r="AX124" s="137"/>
      <c r="AY124" s="138"/>
      <c r="AZ124" s="220">
        <f t="shared" si="4"/>
        <v>0</v>
      </c>
      <c r="BA124" s="220">
        <f t="shared" si="5"/>
        <v>0</v>
      </c>
    </row>
    <row r="125" spans="1:53" ht="50.1" customHeight="1" x14ac:dyDescent="0.25">
      <c r="A125" s="17">
        <f t="shared" si="6"/>
        <v>111</v>
      </c>
      <c r="B125" s="228"/>
      <c r="C125" s="221"/>
      <c r="D125" s="88"/>
      <c r="E125" s="100"/>
      <c r="F125" s="95"/>
      <c r="G125" s="114"/>
      <c r="H125" s="96"/>
      <c r="I125" s="97"/>
      <c r="J125" s="98"/>
      <c r="K125" s="101"/>
      <c r="L125" s="124"/>
      <c r="M125" s="333"/>
      <c r="N125" s="341"/>
      <c r="O125" s="190"/>
      <c r="P125" s="191"/>
      <c r="Q125" s="190"/>
      <c r="R125" s="191"/>
      <c r="S125" s="294"/>
      <c r="T125" s="300"/>
      <c r="U125" s="306"/>
      <c r="V125" s="308"/>
      <c r="W125" s="248"/>
      <c r="X125" s="342"/>
      <c r="Y125" s="337"/>
      <c r="Z125" s="123"/>
      <c r="AA125" s="83"/>
      <c r="AB125" s="123"/>
      <c r="AC125" s="83"/>
      <c r="AD125" s="123"/>
      <c r="AE125" s="83"/>
      <c r="AF125" s="123"/>
      <c r="AG125" s="243"/>
      <c r="AH125" s="33"/>
      <c r="AI125" s="245"/>
      <c r="AJ125" s="125"/>
      <c r="AK125" s="92"/>
      <c r="AL125" s="126"/>
      <c r="AM125" s="91"/>
      <c r="AN125" s="91"/>
      <c r="AO125" s="197">
        <f t="shared" si="7"/>
        <v>0</v>
      </c>
      <c r="AP125" s="126"/>
      <c r="AQ125" s="217"/>
      <c r="AR125" s="201"/>
      <c r="AS125" s="266"/>
      <c r="AT125" s="94"/>
      <c r="AU125" s="84"/>
      <c r="AV125" s="80"/>
      <c r="AW125" s="81"/>
      <c r="AX125" s="77"/>
      <c r="AY125" s="107"/>
      <c r="AZ125" s="220">
        <f t="shared" si="4"/>
        <v>0</v>
      </c>
      <c r="BA125" s="220">
        <f t="shared" si="5"/>
        <v>0</v>
      </c>
    </row>
    <row r="126" spans="1:53" ht="50.1" customHeight="1" x14ac:dyDescent="0.25">
      <c r="A126" s="17">
        <f t="shared" si="6"/>
        <v>112</v>
      </c>
      <c r="B126" s="229"/>
      <c r="C126" s="222"/>
      <c r="D126" s="112"/>
      <c r="E126" s="128"/>
      <c r="F126" s="183"/>
      <c r="G126" s="130"/>
      <c r="H126" s="131"/>
      <c r="I126" s="132"/>
      <c r="J126" s="189"/>
      <c r="K126" s="133"/>
      <c r="L126" s="134"/>
      <c r="M126" s="334"/>
      <c r="N126" s="343"/>
      <c r="O126" s="193"/>
      <c r="P126" s="191"/>
      <c r="Q126" s="193"/>
      <c r="R126" s="191"/>
      <c r="S126" s="296"/>
      <c r="T126" s="302"/>
      <c r="U126" s="306"/>
      <c r="V126" s="308"/>
      <c r="W126" s="249"/>
      <c r="X126" s="344"/>
      <c r="Y126" s="337"/>
      <c r="Z126" s="33"/>
      <c r="AA126" s="83"/>
      <c r="AB126" s="33"/>
      <c r="AC126" s="83"/>
      <c r="AD126" s="33"/>
      <c r="AE126" s="83"/>
      <c r="AF126" s="33"/>
      <c r="AG126" s="244"/>
      <c r="AH126" s="83"/>
      <c r="AI126" s="246"/>
      <c r="AJ126" s="102"/>
      <c r="AK126" s="92"/>
      <c r="AL126" s="91"/>
      <c r="AM126" s="92"/>
      <c r="AN126" s="351"/>
      <c r="AO126" s="197">
        <f t="shared" si="7"/>
        <v>0</v>
      </c>
      <c r="AP126" s="91"/>
      <c r="AQ126" s="217"/>
      <c r="AR126" s="196"/>
      <c r="AS126" s="265"/>
      <c r="AT126" s="94"/>
      <c r="AU126" s="84"/>
      <c r="AV126" s="136"/>
      <c r="AW126" s="81"/>
      <c r="AX126" s="137"/>
      <c r="AY126" s="138"/>
      <c r="AZ126" s="220">
        <f t="shared" si="4"/>
        <v>0</v>
      </c>
      <c r="BA126" s="220">
        <f t="shared" si="5"/>
        <v>0</v>
      </c>
    </row>
    <row r="127" spans="1:53" ht="50.1" customHeight="1" x14ac:dyDescent="0.25">
      <c r="A127" s="17">
        <f t="shared" si="6"/>
        <v>113</v>
      </c>
      <c r="B127" s="228"/>
      <c r="C127" s="221"/>
      <c r="D127" s="88"/>
      <c r="E127" s="100"/>
      <c r="F127" s="95"/>
      <c r="G127" s="114"/>
      <c r="H127" s="96"/>
      <c r="I127" s="97"/>
      <c r="J127" s="98"/>
      <c r="K127" s="101"/>
      <c r="L127" s="124"/>
      <c r="M127" s="333"/>
      <c r="N127" s="341"/>
      <c r="O127" s="190"/>
      <c r="P127" s="191"/>
      <c r="Q127" s="190"/>
      <c r="R127" s="191"/>
      <c r="S127" s="294"/>
      <c r="T127" s="300"/>
      <c r="U127" s="306"/>
      <c r="V127" s="308"/>
      <c r="W127" s="248"/>
      <c r="X127" s="342"/>
      <c r="Y127" s="337"/>
      <c r="Z127" s="123"/>
      <c r="AA127" s="83"/>
      <c r="AB127" s="123"/>
      <c r="AC127" s="83"/>
      <c r="AD127" s="123"/>
      <c r="AE127" s="83"/>
      <c r="AF127" s="123"/>
      <c r="AG127" s="243"/>
      <c r="AH127" s="33"/>
      <c r="AI127" s="245"/>
      <c r="AJ127" s="125"/>
      <c r="AK127" s="92"/>
      <c r="AL127" s="126"/>
      <c r="AM127" s="91"/>
      <c r="AN127" s="91"/>
      <c r="AO127" s="197">
        <f t="shared" si="7"/>
        <v>0</v>
      </c>
      <c r="AP127" s="126"/>
      <c r="AQ127" s="217"/>
      <c r="AR127" s="201"/>
      <c r="AS127" s="266"/>
      <c r="AT127" s="94"/>
      <c r="AU127" s="84"/>
      <c r="AV127" s="80"/>
      <c r="AW127" s="81"/>
      <c r="AX127" s="77"/>
      <c r="AY127" s="107"/>
      <c r="AZ127" s="220">
        <f t="shared" si="4"/>
        <v>0</v>
      </c>
      <c r="BA127" s="220">
        <f t="shared" si="5"/>
        <v>0</v>
      </c>
    </row>
    <row r="128" spans="1:53" ht="50.1" customHeight="1" x14ac:dyDescent="0.25">
      <c r="A128" s="17">
        <f t="shared" si="6"/>
        <v>114</v>
      </c>
      <c r="B128" s="229"/>
      <c r="C128" s="222"/>
      <c r="D128" s="112"/>
      <c r="E128" s="128"/>
      <c r="F128" s="183"/>
      <c r="G128" s="130"/>
      <c r="H128" s="131"/>
      <c r="I128" s="132"/>
      <c r="J128" s="189"/>
      <c r="K128" s="133"/>
      <c r="L128" s="134"/>
      <c r="M128" s="334"/>
      <c r="N128" s="343"/>
      <c r="O128" s="193"/>
      <c r="P128" s="191"/>
      <c r="Q128" s="193"/>
      <c r="R128" s="191"/>
      <c r="S128" s="296"/>
      <c r="T128" s="302"/>
      <c r="U128" s="306"/>
      <c r="V128" s="308"/>
      <c r="W128" s="249"/>
      <c r="X128" s="344"/>
      <c r="Y128" s="337"/>
      <c r="Z128" s="33"/>
      <c r="AA128" s="83"/>
      <c r="AB128" s="33"/>
      <c r="AC128" s="83"/>
      <c r="AD128" s="33"/>
      <c r="AE128" s="83"/>
      <c r="AF128" s="33"/>
      <c r="AG128" s="244"/>
      <c r="AH128" s="83"/>
      <c r="AI128" s="246"/>
      <c r="AJ128" s="102"/>
      <c r="AK128" s="92"/>
      <c r="AL128" s="91"/>
      <c r="AM128" s="92"/>
      <c r="AN128" s="351"/>
      <c r="AO128" s="197">
        <f t="shared" si="7"/>
        <v>0</v>
      </c>
      <c r="AP128" s="91"/>
      <c r="AQ128" s="217"/>
      <c r="AR128" s="196"/>
      <c r="AS128" s="265"/>
      <c r="AT128" s="94"/>
      <c r="AU128" s="84"/>
      <c r="AV128" s="136"/>
      <c r="AW128" s="81"/>
      <c r="AX128" s="137"/>
      <c r="AY128" s="138"/>
      <c r="AZ128" s="220">
        <f t="shared" si="4"/>
        <v>0</v>
      </c>
      <c r="BA128" s="220">
        <f t="shared" si="5"/>
        <v>0</v>
      </c>
    </row>
    <row r="129" spans="1:53" ht="50.1" customHeight="1" x14ac:dyDescent="0.25">
      <c r="A129" s="17">
        <f t="shared" si="6"/>
        <v>115</v>
      </c>
      <c r="B129" s="228"/>
      <c r="C129" s="221"/>
      <c r="D129" s="88"/>
      <c r="E129" s="100"/>
      <c r="F129" s="95"/>
      <c r="G129" s="114"/>
      <c r="H129" s="96"/>
      <c r="I129" s="97"/>
      <c r="J129" s="98"/>
      <c r="K129" s="101"/>
      <c r="L129" s="124"/>
      <c r="M129" s="333"/>
      <c r="N129" s="341"/>
      <c r="O129" s="190"/>
      <c r="P129" s="191"/>
      <c r="Q129" s="190"/>
      <c r="R129" s="191"/>
      <c r="S129" s="294"/>
      <c r="T129" s="300"/>
      <c r="U129" s="306"/>
      <c r="V129" s="308"/>
      <c r="W129" s="248"/>
      <c r="X129" s="345"/>
      <c r="Y129" s="337"/>
      <c r="Z129" s="123"/>
      <c r="AA129" s="83"/>
      <c r="AB129" s="123"/>
      <c r="AC129" s="83"/>
      <c r="AD129" s="123"/>
      <c r="AE129" s="83"/>
      <c r="AF129" s="123"/>
      <c r="AG129" s="243"/>
      <c r="AH129" s="123"/>
      <c r="AI129" s="245"/>
      <c r="AJ129" s="125"/>
      <c r="AK129" s="92"/>
      <c r="AL129" s="126"/>
      <c r="AM129" s="91"/>
      <c r="AN129" s="91"/>
      <c r="AO129" s="197">
        <f t="shared" si="7"/>
        <v>0</v>
      </c>
      <c r="AP129" s="126"/>
      <c r="AQ129" s="217"/>
      <c r="AR129" s="201"/>
      <c r="AS129" s="266"/>
      <c r="AT129" s="94"/>
      <c r="AU129" s="84"/>
      <c r="AV129" s="80"/>
      <c r="AW129" s="81"/>
      <c r="AX129" s="77"/>
      <c r="AY129" s="107"/>
      <c r="AZ129" s="220">
        <f t="shared" si="4"/>
        <v>0</v>
      </c>
      <c r="BA129" s="220">
        <f t="shared" si="5"/>
        <v>0</v>
      </c>
    </row>
    <row r="130" spans="1:53" ht="50.1" customHeight="1" x14ac:dyDescent="0.25">
      <c r="A130" s="17">
        <f t="shared" si="6"/>
        <v>116</v>
      </c>
      <c r="B130" s="229"/>
      <c r="C130" s="222"/>
      <c r="D130" s="112"/>
      <c r="E130" s="128"/>
      <c r="F130" s="183"/>
      <c r="G130" s="130"/>
      <c r="H130" s="131"/>
      <c r="I130" s="132"/>
      <c r="J130" s="189"/>
      <c r="K130" s="133"/>
      <c r="L130" s="134"/>
      <c r="M130" s="334"/>
      <c r="N130" s="343"/>
      <c r="O130" s="193"/>
      <c r="P130" s="191"/>
      <c r="Q130" s="193"/>
      <c r="R130" s="191"/>
      <c r="S130" s="296"/>
      <c r="T130" s="302"/>
      <c r="U130" s="306"/>
      <c r="V130" s="308"/>
      <c r="W130" s="249"/>
      <c r="X130" s="344"/>
      <c r="Y130" s="337"/>
      <c r="Z130" s="33"/>
      <c r="AA130" s="83"/>
      <c r="AB130" s="33"/>
      <c r="AC130" s="83"/>
      <c r="AD130" s="33"/>
      <c r="AE130" s="83"/>
      <c r="AF130" s="33"/>
      <c r="AG130" s="244"/>
      <c r="AH130" s="83"/>
      <c r="AI130" s="246"/>
      <c r="AJ130" s="102"/>
      <c r="AK130" s="92"/>
      <c r="AL130" s="91"/>
      <c r="AM130" s="92"/>
      <c r="AN130" s="351"/>
      <c r="AO130" s="197">
        <f t="shared" si="7"/>
        <v>0</v>
      </c>
      <c r="AP130" s="91"/>
      <c r="AQ130" s="217"/>
      <c r="AR130" s="196"/>
      <c r="AS130" s="265"/>
      <c r="AT130" s="94"/>
      <c r="AU130" s="84"/>
      <c r="AV130" s="136"/>
      <c r="AW130" s="81"/>
      <c r="AX130" s="137"/>
      <c r="AY130" s="138"/>
      <c r="AZ130" s="220">
        <f t="shared" si="4"/>
        <v>0</v>
      </c>
      <c r="BA130" s="220">
        <f t="shared" si="5"/>
        <v>0</v>
      </c>
    </row>
    <row r="131" spans="1:53" ht="50.1" customHeight="1" x14ac:dyDescent="0.25">
      <c r="A131" s="17">
        <f t="shared" si="6"/>
        <v>117</v>
      </c>
      <c r="B131" s="228"/>
      <c r="C131" s="221"/>
      <c r="D131" s="88"/>
      <c r="E131" s="100"/>
      <c r="F131" s="95"/>
      <c r="G131" s="114"/>
      <c r="H131" s="96"/>
      <c r="I131" s="97"/>
      <c r="J131" s="98"/>
      <c r="K131" s="101"/>
      <c r="L131" s="124"/>
      <c r="M131" s="333"/>
      <c r="N131" s="341"/>
      <c r="O131" s="190"/>
      <c r="P131" s="191"/>
      <c r="Q131" s="190"/>
      <c r="R131" s="191"/>
      <c r="S131" s="294"/>
      <c r="T131" s="300"/>
      <c r="U131" s="306"/>
      <c r="V131" s="308"/>
      <c r="W131" s="248"/>
      <c r="X131" s="342"/>
      <c r="Y131" s="337"/>
      <c r="Z131" s="123"/>
      <c r="AA131" s="83"/>
      <c r="AB131" s="123"/>
      <c r="AC131" s="83"/>
      <c r="AD131" s="123"/>
      <c r="AE131" s="83"/>
      <c r="AF131" s="123"/>
      <c r="AG131" s="243"/>
      <c r="AH131" s="33"/>
      <c r="AI131" s="245"/>
      <c r="AJ131" s="125"/>
      <c r="AK131" s="92"/>
      <c r="AL131" s="126"/>
      <c r="AM131" s="91"/>
      <c r="AN131" s="91"/>
      <c r="AO131" s="197">
        <f t="shared" si="7"/>
        <v>0</v>
      </c>
      <c r="AP131" s="126"/>
      <c r="AQ131" s="217"/>
      <c r="AR131" s="201"/>
      <c r="AS131" s="266"/>
      <c r="AT131" s="94"/>
      <c r="AU131" s="84"/>
      <c r="AV131" s="80"/>
      <c r="AW131" s="81"/>
      <c r="AX131" s="77"/>
      <c r="AY131" s="107"/>
      <c r="AZ131" s="220">
        <f t="shared" si="4"/>
        <v>0</v>
      </c>
      <c r="BA131" s="220">
        <f t="shared" si="5"/>
        <v>0</v>
      </c>
    </row>
    <row r="132" spans="1:53" ht="50.1" customHeight="1" x14ac:dyDescent="0.25">
      <c r="A132" s="17">
        <f t="shared" si="6"/>
        <v>118</v>
      </c>
      <c r="B132" s="229"/>
      <c r="C132" s="222"/>
      <c r="D132" s="112"/>
      <c r="E132" s="128"/>
      <c r="F132" s="183"/>
      <c r="G132" s="130"/>
      <c r="H132" s="131"/>
      <c r="I132" s="132"/>
      <c r="J132" s="189"/>
      <c r="K132" s="133"/>
      <c r="L132" s="134"/>
      <c r="M132" s="334"/>
      <c r="N132" s="343"/>
      <c r="O132" s="192"/>
      <c r="P132" s="191"/>
      <c r="Q132" s="192"/>
      <c r="R132" s="191"/>
      <c r="S132" s="295"/>
      <c r="T132" s="301"/>
      <c r="U132" s="306"/>
      <c r="V132" s="308"/>
      <c r="W132" s="249"/>
      <c r="X132" s="344"/>
      <c r="Y132" s="337"/>
      <c r="Z132" s="33"/>
      <c r="AA132" s="83"/>
      <c r="AB132" s="33"/>
      <c r="AC132" s="83"/>
      <c r="AD132" s="33"/>
      <c r="AE132" s="83"/>
      <c r="AF132" s="33"/>
      <c r="AG132" s="244"/>
      <c r="AH132" s="83"/>
      <c r="AI132" s="246"/>
      <c r="AJ132" s="102"/>
      <c r="AK132" s="92"/>
      <c r="AL132" s="91"/>
      <c r="AM132" s="92"/>
      <c r="AN132" s="351"/>
      <c r="AO132" s="197">
        <f t="shared" si="7"/>
        <v>0</v>
      </c>
      <c r="AP132" s="91"/>
      <c r="AQ132" s="217"/>
      <c r="AR132" s="196"/>
      <c r="AS132" s="265"/>
      <c r="AT132" s="94"/>
      <c r="AU132" s="84"/>
      <c r="AV132" s="136"/>
      <c r="AW132" s="81"/>
      <c r="AX132" s="137"/>
      <c r="AY132" s="138"/>
      <c r="AZ132" s="220">
        <f t="shared" si="4"/>
        <v>0</v>
      </c>
      <c r="BA132" s="220">
        <f t="shared" si="5"/>
        <v>0</v>
      </c>
    </row>
    <row r="133" spans="1:53" ht="50.1" customHeight="1" x14ac:dyDescent="0.25">
      <c r="A133" s="17">
        <f t="shared" si="6"/>
        <v>119</v>
      </c>
      <c r="B133" s="228"/>
      <c r="C133" s="221"/>
      <c r="D133" s="88"/>
      <c r="E133" s="100"/>
      <c r="F133" s="95"/>
      <c r="G133" s="114"/>
      <c r="H133" s="96"/>
      <c r="I133" s="97"/>
      <c r="J133" s="98"/>
      <c r="K133" s="101"/>
      <c r="L133" s="124"/>
      <c r="M133" s="333"/>
      <c r="N133" s="341"/>
      <c r="O133" s="190"/>
      <c r="P133" s="191"/>
      <c r="Q133" s="190"/>
      <c r="R133" s="191"/>
      <c r="S133" s="294"/>
      <c r="T133" s="300"/>
      <c r="U133" s="306"/>
      <c r="V133" s="308"/>
      <c r="W133" s="248"/>
      <c r="X133" s="342"/>
      <c r="Y133" s="337"/>
      <c r="Z133" s="123"/>
      <c r="AA133" s="83"/>
      <c r="AB133" s="123"/>
      <c r="AC133" s="83"/>
      <c r="AD133" s="123"/>
      <c r="AE133" s="83"/>
      <c r="AF133" s="123"/>
      <c r="AG133" s="243"/>
      <c r="AH133" s="33"/>
      <c r="AI133" s="245"/>
      <c r="AJ133" s="125"/>
      <c r="AK133" s="92"/>
      <c r="AL133" s="126"/>
      <c r="AM133" s="91"/>
      <c r="AN133" s="91"/>
      <c r="AO133" s="197">
        <f t="shared" si="7"/>
        <v>0</v>
      </c>
      <c r="AP133" s="126"/>
      <c r="AQ133" s="217"/>
      <c r="AR133" s="201"/>
      <c r="AS133" s="266"/>
      <c r="AT133" s="94"/>
      <c r="AU133" s="84"/>
      <c r="AV133" s="80"/>
      <c r="AW133" s="81"/>
      <c r="AX133" s="77"/>
      <c r="AY133" s="107"/>
      <c r="AZ133" s="220">
        <f t="shared" si="4"/>
        <v>0</v>
      </c>
      <c r="BA133" s="220">
        <f t="shared" si="5"/>
        <v>0</v>
      </c>
    </row>
    <row r="134" spans="1:53" ht="50.1" customHeight="1" x14ac:dyDescent="0.25">
      <c r="A134" s="17">
        <f t="shared" si="6"/>
        <v>120</v>
      </c>
      <c r="B134" s="229"/>
      <c r="C134" s="222"/>
      <c r="D134" s="112"/>
      <c r="E134" s="128"/>
      <c r="F134" s="183"/>
      <c r="G134" s="130"/>
      <c r="H134" s="131"/>
      <c r="I134" s="132"/>
      <c r="J134" s="189"/>
      <c r="K134" s="133"/>
      <c r="L134" s="134"/>
      <c r="M134" s="334"/>
      <c r="N134" s="343"/>
      <c r="O134" s="192"/>
      <c r="P134" s="191"/>
      <c r="Q134" s="192"/>
      <c r="R134" s="191"/>
      <c r="S134" s="295"/>
      <c r="T134" s="301"/>
      <c r="U134" s="306"/>
      <c r="V134" s="308"/>
      <c r="W134" s="249"/>
      <c r="X134" s="344"/>
      <c r="Y134" s="337"/>
      <c r="Z134" s="33"/>
      <c r="AA134" s="83"/>
      <c r="AB134" s="33"/>
      <c r="AC134" s="83"/>
      <c r="AD134" s="33"/>
      <c r="AE134" s="83"/>
      <c r="AF134" s="33"/>
      <c r="AG134" s="244"/>
      <c r="AH134" s="83"/>
      <c r="AI134" s="246"/>
      <c r="AJ134" s="102"/>
      <c r="AK134" s="92"/>
      <c r="AL134" s="91"/>
      <c r="AM134" s="92"/>
      <c r="AN134" s="351"/>
      <c r="AO134" s="197">
        <f t="shared" si="7"/>
        <v>0</v>
      </c>
      <c r="AP134" s="91"/>
      <c r="AQ134" s="217"/>
      <c r="AR134" s="196"/>
      <c r="AS134" s="265"/>
      <c r="AT134" s="94"/>
      <c r="AU134" s="84"/>
      <c r="AV134" s="136"/>
      <c r="AW134" s="81"/>
      <c r="AX134" s="137"/>
      <c r="AY134" s="138"/>
      <c r="AZ134" s="220">
        <f t="shared" si="4"/>
        <v>0</v>
      </c>
      <c r="BA134" s="220">
        <f t="shared" si="5"/>
        <v>0</v>
      </c>
    </row>
    <row r="135" spans="1:53" ht="50.1" customHeight="1" x14ac:dyDescent="0.25">
      <c r="A135" s="17">
        <f t="shared" si="6"/>
        <v>121</v>
      </c>
      <c r="B135" s="228"/>
      <c r="C135" s="221"/>
      <c r="D135" s="88"/>
      <c r="E135" s="100"/>
      <c r="F135" s="95"/>
      <c r="G135" s="114"/>
      <c r="H135" s="96"/>
      <c r="I135" s="97"/>
      <c r="J135" s="98"/>
      <c r="K135" s="101"/>
      <c r="L135" s="124"/>
      <c r="M135" s="333"/>
      <c r="N135" s="341"/>
      <c r="O135" s="190"/>
      <c r="P135" s="191"/>
      <c r="Q135" s="190"/>
      <c r="R135" s="191"/>
      <c r="S135" s="294"/>
      <c r="T135" s="300"/>
      <c r="U135" s="306"/>
      <c r="V135" s="308"/>
      <c r="W135" s="248"/>
      <c r="X135" s="342"/>
      <c r="Y135" s="337"/>
      <c r="Z135" s="123"/>
      <c r="AA135" s="83"/>
      <c r="AB135" s="123"/>
      <c r="AC135" s="83"/>
      <c r="AD135" s="123"/>
      <c r="AE135" s="83"/>
      <c r="AF135" s="123"/>
      <c r="AG135" s="243"/>
      <c r="AH135" s="33"/>
      <c r="AI135" s="245"/>
      <c r="AJ135" s="125"/>
      <c r="AK135" s="92"/>
      <c r="AL135" s="126"/>
      <c r="AM135" s="91"/>
      <c r="AN135" s="91"/>
      <c r="AO135" s="197">
        <f t="shared" si="7"/>
        <v>0</v>
      </c>
      <c r="AP135" s="126"/>
      <c r="AQ135" s="217"/>
      <c r="AR135" s="201"/>
      <c r="AS135" s="266"/>
      <c r="AT135" s="94"/>
      <c r="AU135" s="84"/>
      <c r="AV135" s="80"/>
      <c r="AW135" s="81"/>
      <c r="AX135" s="77"/>
      <c r="AY135" s="107"/>
      <c r="AZ135" s="220">
        <f t="shared" si="4"/>
        <v>0</v>
      </c>
      <c r="BA135" s="220">
        <f t="shared" si="5"/>
        <v>0</v>
      </c>
    </row>
    <row r="136" spans="1:53" ht="50.1" customHeight="1" x14ac:dyDescent="0.25">
      <c r="A136" s="17">
        <f t="shared" si="6"/>
        <v>122</v>
      </c>
      <c r="B136" s="229"/>
      <c r="C136" s="222"/>
      <c r="D136" s="112"/>
      <c r="E136" s="128"/>
      <c r="F136" s="183"/>
      <c r="G136" s="130"/>
      <c r="H136" s="131"/>
      <c r="I136" s="132"/>
      <c r="J136" s="189"/>
      <c r="K136" s="133"/>
      <c r="L136" s="134"/>
      <c r="M136" s="334"/>
      <c r="N136" s="343"/>
      <c r="O136" s="192"/>
      <c r="P136" s="191"/>
      <c r="Q136" s="192"/>
      <c r="R136" s="191"/>
      <c r="S136" s="295"/>
      <c r="T136" s="301"/>
      <c r="U136" s="306"/>
      <c r="V136" s="308"/>
      <c r="W136" s="249"/>
      <c r="X136" s="345"/>
      <c r="Y136" s="337"/>
      <c r="Z136" s="33"/>
      <c r="AA136" s="83"/>
      <c r="AB136" s="33"/>
      <c r="AC136" s="83"/>
      <c r="AD136" s="33"/>
      <c r="AE136" s="83"/>
      <c r="AF136" s="33"/>
      <c r="AG136" s="244"/>
      <c r="AH136" s="83"/>
      <c r="AI136" s="246"/>
      <c r="AJ136" s="195"/>
      <c r="AK136" s="92"/>
      <c r="AL136" s="91"/>
      <c r="AM136" s="92"/>
      <c r="AN136" s="351"/>
      <c r="AO136" s="197">
        <f t="shared" si="7"/>
        <v>0</v>
      </c>
      <c r="AP136" s="91"/>
      <c r="AQ136" s="217"/>
      <c r="AR136" s="196"/>
      <c r="AS136" s="265"/>
      <c r="AT136" s="94"/>
      <c r="AU136" s="84"/>
      <c r="AV136" s="136"/>
      <c r="AW136" s="81"/>
      <c r="AX136" s="137"/>
      <c r="AY136" s="138"/>
      <c r="AZ136" s="220">
        <f t="shared" si="4"/>
        <v>0</v>
      </c>
      <c r="BA136" s="220">
        <f t="shared" si="5"/>
        <v>0</v>
      </c>
    </row>
    <row r="137" spans="1:53" ht="50.1" customHeight="1" x14ac:dyDescent="0.25">
      <c r="A137" s="17">
        <f t="shared" si="6"/>
        <v>123</v>
      </c>
      <c r="B137" s="228"/>
      <c r="C137" s="221"/>
      <c r="D137" s="88"/>
      <c r="E137" s="100"/>
      <c r="F137" s="95"/>
      <c r="G137" s="114"/>
      <c r="H137" s="96"/>
      <c r="I137" s="97"/>
      <c r="J137" s="98"/>
      <c r="K137" s="101"/>
      <c r="L137" s="124"/>
      <c r="M137" s="333"/>
      <c r="N137" s="341"/>
      <c r="O137" s="190"/>
      <c r="P137" s="191"/>
      <c r="Q137" s="190"/>
      <c r="R137" s="191"/>
      <c r="S137" s="294"/>
      <c r="T137" s="300"/>
      <c r="U137" s="306"/>
      <c r="V137" s="308"/>
      <c r="W137" s="248"/>
      <c r="X137" s="345"/>
      <c r="Y137" s="337"/>
      <c r="Z137" s="123"/>
      <c r="AA137" s="83"/>
      <c r="AB137" s="123"/>
      <c r="AC137" s="83"/>
      <c r="AD137" s="123"/>
      <c r="AE137" s="83"/>
      <c r="AF137" s="123"/>
      <c r="AG137" s="243"/>
      <c r="AH137" s="123"/>
      <c r="AI137" s="245"/>
      <c r="AJ137" s="125"/>
      <c r="AK137" s="92"/>
      <c r="AL137" s="126"/>
      <c r="AM137" s="91"/>
      <c r="AN137" s="91"/>
      <c r="AO137" s="197">
        <f t="shared" si="7"/>
        <v>0</v>
      </c>
      <c r="AP137" s="126"/>
      <c r="AQ137" s="217"/>
      <c r="AR137" s="201"/>
      <c r="AS137" s="266"/>
      <c r="AT137" s="94"/>
      <c r="AU137" s="84"/>
      <c r="AV137" s="80"/>
      <c r="AW137" s="81"/>
      <c r="AX137" s="77"/>
      <c r="AY137" s="107"/>
      <c r="AZ137" s="220">
        <f t="shared" si="4"/>
        <v>0</v>
      </c>
      <c r="BA137" s="220">
        <f t="shared" si="5"/>
        <v>0</v>
      </c>
    </row>
    <row r="138" spans="1:53" ht="50.1" customHeight="1" x14ac:dyDescent="0.25">
      <c r="A138" s="17">
        <f t="shared" si="6"/>
        <v>124</v>
      </c>
      <c r="B138" s="229"/>
      <c r="C138" s="222"/>
      <c r="D138" s="112"/>
      <c r="E138" s="128"/>
      <c r="F138" s="183"/>
      <c r="G138" s="130"/>
      <c r="H138" s="131"/>
      <c r="I138" s="132"/>
      <c r="J138" s="189"/>
      <c r="K138" s="133"/>
      <c r="L138" s="134"/>
      <c r="M138" s="334"/>
      <c r="N138" s="343"/>
      <c r="O138" s="192"/>
      <c r="P138" s="191"/>
      <c r="Q138" s="192"/>
      <c r="R138" s="191"/>
      <c r="S138" s="295"/>
      <c r="T138" s="301"/>
      <c r="U138" s="306"/>
      <c r="V138" s="308"/>
      <c r="W138" s="249"/>
      <c r="X138" s="344"/>
      <c r="Y138" s="337"/>
      <c r="Z138" s="33"/>
      <c r="AA138" s="83"/>
      <c r="AB138" s="33"/>
      <c r="AC138" s="83"/>
      <c r="AD138" s="33"/>
      <c r="AE138" s="83"/>
      <c r="AF138" s="33"/>
      <c r="AG138" s="244"/>
      <c r="AH138" s="83"/>
      <c r="AI138" s="246"/>
      <c r="AJ138" s="195"/>
      <c r="AK138" s="92"/>
      <c r="AL138" s="91"/>
      <c r="AM138" s="92"/>
      <c r="AN138" s="351"/>
      <c r="AO138" s="197">
        <f t="shared" si="7"/>
        <v>0</v>
      </c>
      <c r="AP138" s="91"/>
      <c r="AQ138" s="217"/>
      <c r="AR138" s="196"/>
      <c r="AS138" s="265"/>
      <c r="AT138" s="94"/>
      <c r="AU138" s="84"/>
      <c r="AV138" s="136"/>
      <c r="AW138" s="81"/>
      <c r="AX138" s="137"/>
      <c r="AY138" s="138"/>
      <c r="AZ138" s="220">
        <f t="shared" si="4"/>
        <v>0</v>
      </c>
      <c r="BA138" s="220">
        <f t="shared" si="5"/>
        <v>0</v>
      </c>
    </row>
    <row r="139" spans="1:53" ht="50.1" customHeight="1" x14ac:dyDescent="0.25">
      <c r="A139" s="17">
        <f t="shared" si="6"/>
        <v>125</v>
      </c>
      <c r="B139" s="228"/>
      <c r="C139" s="221"/>
      <c r="D139" s="88"/>
      <c r="E139" s="100"/>
      <c r="F139" s="95"/>
      <c r="G139" s="114"/>
      <c r="H139" s="96"/>
      <c r="I139" s="97"/>
      <c r="J139" s="98"/>
      <c r="K139" s="101"/>
      <c r="L139" s="124"/>
      <c r="M139" s="333"/>
      <c r="N139" s="341"/>
      <c r="O139" s="190"/>
      <c r="P139" s="191"/>
      <c r="Q139" s="190"/>
      <c r="R139" s="191"/>
      <c r="S139" s="294"/>
      <c r="T139" s="300"/>
      <c r="U139" s="306"/>
      <c r="V139" s="308"/>
      <c r="W139" s="248"/>
      <c r="X139" s="342"/>
      <c r="Y139" s="337"/>
      <c r="Z139" s="123"/>
      <c r="AA139" s="83"/>
      <c r="AB139" s="123"/>
      <c r="AC139" s="83"/>
      <c r="AD139" s="123"/>
      <c r="AE139" s="83"/>
      <c r="AF139" s="123"/>
      <c r="AG139" s="243"/>
      <c r="AH139" s="33"/>
      <c r="AI139" s="245"/>
      <c r="AJ139" s="125"/>
      <c r="AK139" s="92"/>
      <c r="AL139" s="126"/>
      <c r="AM139" s="91"/>
      <c r="AN139" s="91"/>
      <c r="AO139" s="197">
        <f t="shared" si="7"/>
        <v>0</v>
      </c>
      <c r="AP139" s="126"/>
      <c r="AQ139" s="217"/>
      <c r="AR139" s="201"/>
      <c r="AS139" s="266"/>
      <c r="AT139" s="94"/>
      <c r="AU139" s="84"/>
      <c r="AV139" s="80"/>
      <c r="AW139" s="81"/>
      <c r="AX139" s="77"/>
      <c r="AY139" s="107"/>
      <c r="AZ139" s="220">
        <f t="shared" si="4"/>
        <v>0</v>
      </c>
      <c r="BA139" s="220">
        <f t="shared" si="5"/>
        <v>0</v>
      </c>
    </row>
    <row r="140" spans="1:53" ht="50.1" customHeight="1" x14ac:dyDescent="0.25">
      <c r="A140" s="17">
        <f t="shared" si="6"/>
        <v>126</v>
      </c>
      <c r="B140" s="229"/>
      <c r="C140" s="222"/>
      <c r="D140" s="112"/>
      <c r="E140" s="128"/>
      <c r="F140" s="183"/>
      <c r="G140" s="130"/>
      <c r="H140" s="131"/>
      <c r="I140" s="132"/>
      <c r="J140" s="189"/>
      <c r="K140" s="133"/>
      <c r="L140" s="134"/>
      <c r="M140" s="334"/>
      <c r="N140" s="343"/>
      <c r="O140" s="192"/>
      <c r="P140" s="191"/>
      <c r="Q140" s="192"/>
      <c r="R140" s="191"/>
      <c r="S140" s="295"/>
      <c r="T140" s="301"/>
      <c r="U140" s="306"/>
      <c r="V140" s="308"/>
      <c r="W140" s="249"/>
      <c r="X140" s="345"/>
      <c r="Y140" s="337"/>
      <c r="Z140" s="33"/>
      <c r="AA140" s="83"/>
      <c r="AB140" s="33"/>
      <c r="AC140" s="83"/>
      <c r="AD140" s="33"/>
      <c r="AE140" s="83"/>
      <c r="AF140" s="33"/>
      <c r="AG140" s="244"/>
      <c r="AH140" s="83"/>
      <c r="AI140" s="246"/>
      <c r="AJ140" s="102"/>
      <c r="AK140" s="92"/>
      <c r="AL140" s="91"/>
      <c r="AM140" s="92"/>
      <c r="AN140" s="351"/>
      <c r="AO140" s="197">
        <f t="shared" si="7"/>
        <v>0</v>
      </c>
      <c r="AP140" s="91"/>
      <c r="AQ140" s="217"/>
      <c r="AR140" s="196"/>
      <c r="AS140" s="265"/>
      <c r="AT140" s="94"/>
      <c r="AU140" s="84"/>
      <c r="AV140" s="136"/>
      <c r="AW140" s="81"/>
      <c r="AX140" s="137"/>
      <c r="AY140" s="138"/>
      <c r="AZ140" s="220">
        <f t="shared" si="4"/>
        <v>0</v>
      </c>
      <c r="BA140" s="220">
        <f t="shared" si="5"/>
        <v>0</v>
      </c>
    </row>
    <row r="141" spans="1:53" ht="50.1" customHeight="1" x14ac:dyDescent="0.25">
      <c r="A141" s="17">
        <f t="shared" si="6"/>
        <v>127</v>
      </c>
      <c r="B141" s="228"/>
      <c r="C141" s="221"/>
      <c r="D141" s="88"/>
      <c r="E141" s="100"/>
      <c r="F141" s="95"/>
      <c r="G141" s="114"/>
      <c r="H141" s="96"/>
      <c r="I141" s="97"/>
      <c r="J141" s="98"/>
      <c r="K141" s="101"/>
      <c r="L141" s="124"/>
      <c r="M141" s="333"/>
      <c r="N141" s="341"/>
      <c r="O141" s="190"/>
      <c r="P141" s="191"/>
      <c r="Q141" s="190"/>
      <c r="R141" s="191"/>
      <c r="S141" s="294"/>
      <c r="T141" s="300"/>
      <c r="U141" s="306"/>
      <c r="V141" s="308"/>
      <c r="W141" s="248"/>
      <c r="X141" s="345"/>
      <c r="Y141" s="337"/>
      <c r="Z141" s="123"/>
      <c r="AA141" s="83"/>
      <c r="AB141" s="123"/>
      <c r="AC141" s="83"/>
      <c r="AD141" s="123"/>
      <c r="AE141" s="83"/>
      <c r="AF141" s="123"/>
      <c r="AG141" s="243"/>
      <c r="AH141" s="123"/>
      <c r="AI141" s="245"/>
      <c r="AJ141" s="125"/>
      <c r="AK141" s="92"/>
      <c r="AL141" s="126"/>
      <c r="AM141" s="91"/>
      <c r="AN141" s="91"/>
      <c r="AO141" s="197">
        <f t="shared" si="7"/>
        <v>0</v>
      </c>
      <c r="AP141" s="126"/>
      <c r="AQ141" s="217"/>
      <c r="AR141" s="201"/>
      <c r="AS141" s="266"/>
      <c r="AT141" s="94"/>
      <c r="AU141" s="84"/>
      <c r="AV141" s="80"/>
      <c r="AW141" s="81"/>
      <c r="AX141" s="77"/>
      <c r="AY141" s="107"/>
      <c r="AZ141" s="220">
        <f t="shared" si="4"/>
        <v>0</v>
      </c>
      <c r="BA141" s="220">
        <f t="shared" si="5"/>
        <v>0</v>
      </c>
    </row>
    <row r="142" spans="1:53" ht="50.1" customHeight="1" x14ac:dyDescent="0.25">
      <c r="A142" s="17">
        <f t="shared" si="6"/>
        <v>128</v>
      </c>
      <c r="B142" s="229"/>
      <c r="C142" s="222"/>
      <c r="D142" s="112"/>
      <c r="E142" s="128"/>
      <c r="F142" s="183"/>
      <c r="G142" s="130"/>
      <c r="H142" s="131"/>
      <c r="I142" s="132"/>
      <c r="J142" s="189"/>
      <c r="K142" s="133"/>
      <c r="L142" s="134"/>
      <c r="M142" s="334"/>
      <c r="N142" s="343"/>
      <c r="O142" s="192"/>
      <c r="P142" s="191"/>
      <c r="Q142" s="192"/>
      <c r="R142" s="191"/>
      <c r="S142" s="295"/>
      <c r="T142" s="301"/>
      <c r="U142" s="306"/>
      <c r="V142" s="308"/>
      <c r="W142" s="249"/>
      <c r="X142" s="345"/>
      <c r="Y142" s="337"/>
      <c r="Z142" s="33"/>
      <c r="AA142" s="83"/>
      <c r="AB142" s="33"/>
      <c r="AC142" s="83"/>
      <c r="AD142" s="33"/>
      <c r="AE142" s="83"/>
      <c r="AF142" s="33"/>
      <c r="AG142" s="244"/>
      <c r="AH142" s="83"/>
      <c r="AI142" s="246"/>
      <c r="AJ142" s="102"/>
      <c r="AK142" s="92"/>
      <c r="AL142" s="91"/>
      <c r="AM142" s="92"/>
      <c r="AN142" s="351"/>
      <c r="AO142" s="197">
        <f t="shared" si="7"/>
        <v>0</v>
      </c>
      <c r="AP142" s="91"/>
      <c r="AQ142" s="217"/>
      <c r="AR142" s="196"/>
      <c r="AS142" s="265"/>
      <c r="AT142" s="94"/>
      <c r="AU142" s="84"/>
      <c r="AV142" s="136"/>
      <c r="AW142" s="81"/>
      <c r="AX142" s="137"/>
      <c r="AY142" s="138"/>
      <c r="AZ142" s="220">
        <f t="shared" si="4"/>
        <v>0</v>
      </c>
      <c r="BA142" s="220">
        <f t="shared" si="5"/>
        <v>0</v>
      </c>
    </row>
    <row r="143" spans="1:53" ht="50.1" customHeight="1" x14ac:dyDescent="0.25">
      <c r="A143" s="17">
        <f t="shared" si="6"/>
        <v>129</v>
      </c>
      <c r="B143" s="228"/>
      <c r="C143" s="221"/>
      <c r="D143" s="88"/>
      <c r="E143" s="100"/>
      <c r="F143" s="95"/>
      <c r="G143" s="114"/>
      <c r="H143" s="96"/>
      <c r="I143" s="97"/>
      <c r="J143" s="98"/>
      <c r="K143" s="101"/>
      <c r="L143" s="124"/>
      <c r="M143" s="333"/>
      <c r="N143" s="341"/>
      <c r="O143" s="190"/>
      <c r="P143" s="191"/>
      <c r="Q143" s="190"/>
      <c r="R143" s="191"/>
      <c r="S143" s="294"/>
      <c r="T143" s="300"/>
      <c r="U143" s="306"/>
      <c r="V143" s="308"/>
      <c r="W143" s="248"/>
      <c r="X143" s="342"/>
      <c r="Y143" s="337"/>
      <c r="Z143" s="123"/>
      <c r="AA143" s="83"/>
      <c r="AB143" s="123"/>
      <c r="AC143" s="83"/>
      <c r="AD143" s="123"/>
      <c r="AE143" s="83"/>
      <c r="AF143" s="123"/>
      <c r="AG143" s="243"/>
      <c r="AH143" s="33"/>
      <c r="AI143" s="245"/>
      <c r="AJ143" s="125"/>
      <c r="AK143" s="92"/>
      <c r="AL143" s="126"/>
      <c r="AM143" s="91"/>
      <c r="AN143" s="91"/>
      <c r="AO143" s="197">
        <f t="shared" si="7"/>
        <v>0</v>
      </c>
      <c r="AP143" s="126"/>
      <c r="AQ143" s="217"/>
      <c r="AR143" s="201"/>
      <c r="AS143" s="266"/>
      <c r="AT143" s="94"/>
      <c r="AU143" s="84"/>
      <c r="AV143" s="80"/>
      <c r="AW143" s="81"/>
      <c r="AX143" s="77"/>
      <c r="AY143" s="107"/>
      <c r="AZ143" s="220">
        <f t="shared" ref="AZ143:AZ206" si="8">M143-B143</f>
        <v>0</v>
      </c>
      <c r="BA143" s="220">
        <f t="shared" ref="BA143:BA206" si="9">AU143-M143</f>
        <v>0</v>
      </c>
    </row>
    <row r="144" spans="1:53" ht="50.1" customHeight="1" x14ac:dyDescent="0.25">
      <c r="A144" s="17">
        <f t="shared" ref="A144:A207" si="10">ROW(A130)</f>
        <v>130</v>
      </c>
      <c r="B144" s="229"/>
      <c r="C144" s="222"/>
      <c r="D144" s="112"/>
      <c r="E144" s="128"/>
      <c r="F144" s="183"/>
      <c r="G144" s="130"/>
      <c r="H144" s="131"/>
      <c r="I144" s="132"/>
      <c r="J144" s="189"/>
      <c r="K144" s="133"/>
      <c r="L144" s="134"/>
      <c r="M144" s="334"/>
      <c r="N144" s="343"/>
      <c r="O144" s="192"/>
      <c r="P144" s="191"/>
      <c r="Q144" s="192"/>
      <c r="R144" s="191"/>
      <c r="S144" s="295"/>
      <c r="T144" s="301"/>
      <c r="U144" s="306"/>
      <c r="V144" s="308"/>
      <c r="W144" s="249"/>
      <c r="X144" s="345"/>
      <c r="Y144" s="337"/>
      <c r="Z144" s="33"/>
      <c r="AA144" s="83"/>
      <c r="AB144" s="33"/>
      <c r="AC144" s="83"/>
      <c r="AD144" s="33"/>
      <c r="AE144" s="83"/>
      <c r="AF144" s="33"/>
      <c r="AG144" s="244"/>
      <c r="AH144" s="83"/>
      <c r="AI144" s="246"/>
      <c r="AJ144" s="102"/>
      <c r="AK144" s="92"/>
      <c r="AL144" s="91"/>
      <c r="AM144" s="92"/>
      <c r="AN144" s="351"/>
      <c r="AO144" s="197">
        <f t="shared" ref="AO144:AO207" si="11">AJ144-AK144-AL144-AM144-AN144</f>
        <v>0</v>
      </c>
      <c r="AP144" s="91"/>
      <c r="AQ144" s="217"/>
      <c r="AR144" s="196"/>
      <c r="AS144" s="265"/>
      <c r="AT144" s="94"/>
      <c r="AU144" s="84"/>
      <c r="AV144" s="136"/>
      <c r="AW144" s="81"/>
      <c r="AX144" s="137"/>
      <c r="AY144" s="138"/>
      <c r="AZ144" s="220">
        <f t="shared" si="8"/>
        <v>0</v>
      </c>
      <c r="BA144" s="220">
        <f t="shared" si="9"/>
        <v>0</v>
      </c>
    </row>
    <row r="145" spans="1:53" ht="50.1" customHeight="1" x14ac:dyDescent="0.25">
      <c r="A145" s="17">
        <f t="shared" si="10"/>
        <v>131</v>
      </c>
      <c r="B145" s="228"/>
      <c r="C145" s="221"/>
      <c r="D145" s="88"/>
      <c r="E145" s="100"/>
      <c r="F145" s="95"/>
      <c r="G145" s="114"/>
      <c r="H145" s="96"/>
      <c r="I145" s="97"/>
      <c r="J145" s="98"/>
      <c r="K145" s="101"/>
      <c r="L145" s="124"/>
      <c r="M145" s="333"/>
      <c r="N145" s="341"/>
      <c r="O145" s="190"/>
      <c r="P145" s="191"/>
      <c r="Q145" s="190"/>
      <c r="R145" s="191"/>
      <c r="S145" s="294"/>
      <c r="T145" s="300"/>
      <c r="U145" s="306"/>
      <c r="V145" s="308"/>
      <c r="W145" s="248"/>
      <c r="X145" s="342"/>
      <c r="Y145" s="337"/>
      <c r="Z145" s="123"/>
      <c r="AA145" s="83"/>
      <c r="AB145" s="123"/>
      <c r="AC145" s="83"/>
      <c r="AD145" s="123"/>
      <c r="AE145" s="83"/>
      <c r="AF145" s="123"/>
      <c r="AG145" s="243"/>
      <c r="AH145" s="33"/>
      <c r="AI145" s="245"/>
      <c r="AJ145" s="125"/>
      <c r="AK145" s="92"/>
      <c r="AL145" s="126"/>
      <c r="AM145" s="91"/>
      <c r="AN145" s="91"/>
      <c r="AO145" s="197">
        <f t="shared" si="11"/>
        <v>0</v>
      </c>
      <c r="AP145" s="126"/>
      <c r="AQ145" s="217"/>
      <c r="AR145" s="201"/>
      <c r="AS145" s="266"/>
      <c r="AT145" s="94"/>
      <c r="AU145" s="84"/>
      <c r="AV145" s="80"/>
      <c r="AW145" s="81"/>
      <c r="AX145" s="77"/>
      <c r="AY145" s="107"/>
      <c r="AZ145" s="220">
        <f t="shared" si="8"/>
        <v>0</v>
      </c>
      <c r="BA145" s="220">
        <f t="shared" si="9"/>
        <v>0</v>
      </c>
    </row>
    <row r="146" spans="1:53" ht="50.1" customHeight="1" x14ac:dyDescent="0.25">
      <c r="A146" s="17">
        <f t="shared" si="10"/>
        <v>132</v>
      </c>
      <c r="B146" s="229"/>
      <c r="C146" s="222"/>
      <c r="D146" s="112"/>
      <c r="E146" s="128"/>
      <c r="F146" s="183"/>
      <c r="G146" s="130"/>
      <c r="H146" s="131"/>
      <c r="I146" s="132"/>
      <c r="J146" s="189"/>
      <c r="K146" s="133"/>
      <c r="L146" s="134"/>
      <c r="M146" s="334"/>
      <c r="N146" s="343"/>
      <c r="O146" s="192"/>
      <c r="P146" s="191"/>
      <c r="Q146" s="192"/>
      <c r="R146" s="191"/>
      <c r="S146" s="295"/>
      <c r="T146" s="301"/>
      <c r="U146" s="306"/>
      <c r="V146" s="308"/>
      <c r="W146" s="249"/>
      <c r="X146" s="344"/>
      <c r="Y146" s="337"/>
      <c r="Z146" s="33"/>
      <c r="AA146" s="83"/>
      <c r="AB146" s="33"/>
      <c r="AC146" s="83"/>
      <c r="AD146" s="33"/>
      <c r="AE146" s="83"/>
      <c r="AF146" s="33"/>
      <c r="AG146" s="244"/>
      <c r="AH146" s="83"/>
      <c r="AI146" s="246"/>
      <c r="AJ146" s="102"/>
      <c r="AK146" s="92"/>
      <c r="AL146" s="91"/>
      <c r="AM146" s="92"/>
      <c r="AN146" s="351"/>
      <c r="AO146" s="197">
        <f t="shared" si="11"/>
        <v>0</v>
      </c>
      <c r="AP146" s="91"/>
      <c r="AQ146" s="217"/>
      <c r="AR146" s="196"/>
      <c r="AS146" s="265"/>
      <c r="AT146" s="94"/>
      <c r="AU146" s="84"/>
      <c r="AV146" s="136"/>
      <c r="AW146" s="81"/>
      <c r="AX146" s="137"/>
      <c r="AY146" s="138"/>
      <c r="AZ146" s="220">
        <f t="shared" si="8"/>
        <v>0</v>
      </c>
      <c r="BA146" s="220">
        <f t="shared" si="9"/>
        <v>0</v>
      </c>
    </row>
    <row r="147" spans="1:53" ht="50.1" customHeight="1" x14ac:dyDescent="0.25">
      <c r="A147" s="17">
        <f t="shared" si="10"/>
        <v>133</v>
      </c>
      <c r="B147" s="228"/>
      <c r="C147" s="221"/>
      <c r="D147" s="88"/>
      <c r="E147" s="100"/>
      <c r="F147" s="95"/>
      <c r="G147" s="114"/>
      <c r="H147" s="96"/>
      <c r="I147" s="97"/>
      <c r="J147" s="98"/>
      <c r="K147" s="101"/>
      <c r="L147" s="124"/>
      <c r="M147" s="333"/>
      <c r="N147" s="341"/>
      <c r="O147" s="190"/>
      <c r="P147" s="191"/>
      <c r="Q147" s="190"/>
      <c r="R147" s="191"/>
      <c r="S147" s="294"/>
      <c r="T147" s="300"/>
      <c r="U147" s="306"/>
      <c r="V147" s="308"/>
      <c r="W147" s="248"/>
      <c r="X147" s="342"/>
      <c r="Y147" s="337"/>
      <c r="Z147" s="123"/>
      <c r="AA147" s="83"/>
      <c r="AB147" s="123"/>
      <c r="AC147" s="83"/>
      <c r="AD147" s="123"/>
      <c r="AE147" s="83"/>
      <c r="AF147" s="123"/>
      <c r="AG147" s="243"/>
      <c r="AH147" s="33"/>
      <c r="AI147" s="245"/>
      <c r="AJ147" s="125"/>
      <c r="AK147" s="92"/>
      <c r="AL147" s="126"/>
      <c r="AM147" s="91"/>
      <c r="AN147" s="91"/>
      <c r="AO147" s="197">
        <f t="shared" si="11"/>
        <v>0</v>
      </c>
      <c r="AP147" s="126"/>
      <c r="AQ147" s="217"/>
      <c r="AR147" s="201"/>
      <c r="AS147" s="266"/>
      <c r="AT147" s="94"/>
      <c r="AU147" s="84"/>
      <c r="AV147" s="80"/>
      <c r="AW147" s="81"/>
      <c r="AX147" s="77"/>
      <c r="AY147" s="107"/>
      <c r="AZ147" s="220">
        <f t="shared" si="8"/>
        <v>0</v>
      </c>
      <c r="BA147" s="220">
        <f t="shared" si="9"/>
        <v>0</v>
      </c>
    </row>
    <row r="148" spans="1:53" ht="50.1" customHeight="1" x14ac:dyDescent="0.25">
      <c r="A148" s="17">
        <f t="shared" si="10"/>
        <v>134</v>
      </c>
      <c r="B148" s="229"/>
      <c r="C148" s="222"/>
      <c r="D148" s="112"/>
      <c r="E148" s="128"/>
      <c r="F148" s="183"/>
      <c r="G148" s="130"/>
      <c r="H148" s="131"/>
      <c r="I148" s="132"/>
      <c r="J148" s="189"/>
      <c r="K148" s="133"/>
      <c r="L148" s="134"/>
      <c r="M148" s="334"/>
      <c r="N148" s="343"/>
      <c r="O148" s="192"/>
      <c r="P148" s="191"/>
      <c r="Q148" s="192"/>
      <c r="R148" s="191"/>
      <c r="S148" s="295"/>
      <c r="T148" s="301"/>
      <c r="U148" s="306"/>
      <c r="V148" s="308"/>
      <c r="W148" s="249"/>
      <c r="X148" s="344"/>
      <c r="Y148" s="337"/>
      <c r="Z148" s="33"/>
      <c r="AA148" s="83"/>
      <c r="AB148" s="33"/>
      <c r="AC148" s="83"/>
      <c r="AD148" s="33"/>
      <c r="AE148" s="83"/>
      <c r="AF148" s="33"/>
      <c r="AG148" s="244"/>
      <c r="AH148" s="83"/>
      <c r="AI148" s="246"/>
      <c r="AJ148" s="102"/>
      <c r="AK148" s="92"/>
      <c r="AL148" s="91"/>
      <c r="AM148" s="92"/>
      <c r="AN148" s="351"/>
      <c r="AO148" s="197">
        <f t="shared" si="11"/>
        <v>0</v>
      </c>
      <c r="AP148" s="91"/>
      <c r="AQ148" s="217"/>
      <c r="AR148" s="196"/>
      <c r="AS148" s="265"/>
      <c r="AT148" s="94"/>
      <c r="AU148" s="84"/>
      <c r="AV148" s="136"/>
      <c r="AW148" s="81"/>
      <c r="AX148" s="137"/>
      <c r="AY148" s="138"/>
      <c r="AZ148" s="220">
        <f t="shared" si="8"/>
        <v>0</v>
      </c>
      <c r="BA148" s="220">
        <f t="shared" si="9"/>
        <v>0</v>
      </c>
    </row>
    <row r="149" spans="1:53" ht="50.1" customHeight="1" x14ac:dyDescent="0.25">
      <c r="A149" s="17">
        <f t="shared" si="10"/>
        <v>135</v>
      </c>
      <c r="B149" s="228"/>
      <c r="C149" s="221"/>
      <c r="D149" s="88"/>
      <c r="E149" s="100"/>
      <c r="F149" s="95"/>
      <c r="G149" s="114"/>
      <c r="H149" s="96"/>
      <c r="I149" s="97"/>
      <c r="J149" s="98"/>
      <c r="K149" s="101"/>
      <c r="L149" s="124"/>
      <c r="M149" s="333"/>
      <c r="N149" s="341"/>
      <c r="O149" s="190"/>
      <c r="P149" s="191"/>
      <c r="Q149" s="190"/>
      <c r="R149" s="191"/>
      <c r="S149" s="294"/>
      <c r="T149" s="300"/>
      <c r="U149" s="306"/>
      <c r="V149" s="308"/>
      <c r="W149" s="248"/>
      <c r="X149" s="345"/>
      <c r="Y149" s="337"/>
      <c r="Z149" s="123"/>
      <c r="AA149" s="83"/>
      <c r="AB149" s="123"/>
      <c r="AC149" s="83"/>
      <c r="AD149" s="123"/>
      <c r="AE149" s="83"/>
      <c r="AF149" s="123"/>
      <c r="AG149" s="243"/>
      <c r="AH149" s="123"/>
      <c r="AI149" s="245"/>
      <c r="AJ149" s="125"/>
      <c r="AK149" s="92"/>
      <c r="AL149" s="126"/>
      <c r="AM149" s="91"/>
      <c r="AN149" s="91"/>
      <c r="AO149" s="197">
        <f t="shared" si="11"/>
        <v>0</v>
      </c>
      <c r="AP149" s="126"/>
      <c r="AQ149" s="217"/>
      <c r="AR149" s="201"/>
      <c r="AS149" s="266"/>
      <c r="AT149" s="94"/>
      <c r="AU149" s="84"/>
      <c r="AV149" s="80"/>
      <c r="AW149" s="81"/>
      <c r="AX149" s="77"/>
      <c r="AY149" s="107"/>
      <c r="AZ149" s="220">
        <f t="shared" si="8"/>
        <v>0</v>
      </c>
      <c r="BA149" s="220">
        <f t="shared" si="9"/>
        <v>0</v>
      </c>
    </row>
    <row r="150" spans="1:53" ht="50.1" customHeight="1" x14ac:dyDescent="0.25">
      <c r="A150" s="17">
        <f t="shared" si="10"/>
        <v>136</v>
      </c>
      <c r="B150" s="229"/>
      <c r="C150" s="222"/>
      <c r="D150" s="112"/>
      <c r="E150" s="128"/>
      <c r="F150" s="183"/>
      <c r="G150" s="130"/>
      <c r="H150" s="131"/>
      <c r="I150" s="132"/>
      <c r="J150" s="189"/>
      <c r="K150" s="133"/>
      <c r="L150" s="134"/>
      <c r="M150" s="334"/>
      <c r="N150" s="343"/>
      <c r="O150" s="192"/>
      <c r="P150" s="191"/>
      <c r="Q150" s="192"/>
      <c r="R150" s="191"/>
      <c r="S150" s="295"/>
      <c r="T150" s="301"/>
      <c r="U150" s="306"/>
      <c r="V150" s="308"/>
      <c r="W150" s="249"/>
      <c r="X150" s="345"/>
      <c r="Y150" s="337"/>
      <c r="Z150" s="33"/>
      <c r="AA150" s="83"/>
      <c r="AB150" s="33"/>
      <c r="AC150" s="83"/>
      <c r="AD150" s="33"/>
      <c r="AE150" s="83"/>
      <c r="AF150" s="33"/>
      <c r="AG150" s="244"/>
      <c r="AH150" s="83"/>
      <c r="AI150" s="246"/>
      <c r="AJ150" s="102"/>
      <c r="AK150" s="92"/>
      <c r="AL150" s="91"/>
      <c r="AM150" s="92"/>
      <c r="AN150" s="351"/>
      <c r="AO150" s="197">
        <f t="shared" si="11"/>
        <v>0</v>
      </c>
      <c r="AP150" s="91"/>
      <c r="AQ150" s="217"/>
      <c r="AR150" s="196"/>
      <c r="AS150" s="265"/>
      <c r="AT150" s="94"/>
      <c r="AU150" s="84"/>
      <c r="AV150" s="136"/>
      <c r="AW150" s="81"/>
      <c r="AX150" s="137"/>
      <c r="AY150" s="138"/>
      <c r="AZ150" s="220">
        <f t="shared" si="8"/>
        <v>0</v>
      </c>
      <c r="BA150" s="220">
        <f t="shared" si="9"/>
        <v>0</v>
      </c>
    </row>
    <row r="151" spans="1:53" ht="50.1" customHeight="1" x14ac:dyDescent="0.25">
      <c r="A151" s="17">
        <f t="shared" si="10"/>
        <v>137</v>
      </c>
      <c r="B151" s="228"/>
      <c r="C151" s="221"/>
      <c r="D151" s="88"/>
      <c r="E151" s="100"/>
      <c r="F151" s="95"/>
      <c r="G151" s="114"/>
      <c r="H151" s="96"/>
      <c r="I151" s="97"/>
      <c r="J151" s="98"/>
      <c r="K151" s="101"/>
      <c r="L151" s="124"/>
      <c r="M151" s="333"/>
      <c r="N151" s="341"/>
      <c r="O151" s="190"/>
      <c r="P151" s="191"/>
      <c r="Q151" s="190"/>
      <c r="R151" s="191"/>
      <c r="S151" s="294"/>
      <c r="T151" s="300"/>
      <c r="U151" s="306"/>
      <c r="V151" s="308"/>
      <c r="W151" s="248"/>
      <c r="X151" s="345"/>
      <c r="Y151" s="337"/>
      <c r="Z151" s="123"/>
      <c r="AA151" s="83"/>
      <c r="AB151" s="123"/>
      <c r="AC151" s="83"/>
      <c r="AD151" s="123"/>
      <c r="AE151" s="83"/>
      <c r="AF151" s="123"/>
      <c r="AG151" s="243"/>
      <c r="AH151" s="123"/>
      <c r="AI151" s="245"/>
      <c r="AJ151" s="125"/>
      <c r="AK151" s="92"/>
      <c r="AL151" s="126"/>
      <c r="AM151" s="91"/>
      <c r="AN151" s="91"/>
      <c r="AO151" s="197">
        <f t="shared" si="11"/>
        <v>0</v>
      </c>
      <c r="AP151" s="126"/>
      <c r="AQ151" s="217"/>
      <c r="AR151" s="201"/>
      <c r="AS151" s="266"/>
      <c r="AT151" s="94"/>
      <c r="AU151" s="84"/>
      <c r="AV151" s="80"/>
      <c r="AW151" s="81"/>
      <c r="AX151" s="77"/>
      <c r="AY151" s="107"/>
      <c r="AZ151" s="220">
        <f t="shared" si="8"/>
        <v>0</v>
      </c>
      <c r="BA151" s="220">
        <f t="shared" si="9"/>
        <v>0</v>
      </c>
    </row>
    <row r="152" spans="1:53" ht="50.1" customHeight="1" x14ac:dyDescent="0.25">
      <c r="A152" s="17">
        <f t="shared" si="10"/>
        <v>138</v>
      </c>
      <c r="B152" s="229"/>
      <c r="C152" s="222"/>
      <c r="D152" s="112"/>
      <c r="E152" s="128"/>
      <c r="F152" s="183"/>
      <c r="G152" s="130"/>
      <c r="H152" s="131"/>
      <c r="I152" s="132"/>
      <c r="J152" s="189"/>
      <c r="K152" s="133"/>
      <c r="L152" s="134"/>
      <c r="M152" s="334"/>
      <c r="N152" s="343"/>
      <c r="O152" s="192"/>
      <c r="P152" s="191"/>
      <c r="Q152" s="192"/>
      <c r="R152" s="191"/>
      <c r="S152" s="295"/>
      <c r="T152" s="301"/>
      <c r="U152" s="306"/>
      <c r="V152" s="308"/>
      <c r="W152" s="249"/>
      <c r="X152" s="345"/>
      <c r="Y152" s="337"/>
      <c r="Z152" s="33"/>
      <c r="AA152" s="83"/>
      <c r="AB152" s="33"/>
      <c r="AC152" s="83"/>
      <c r="AD152" s="33"/>
      <c r="AE152" s="83"/>
      <c r="AF152" s="33"/>
      <c r="AG152" s="244"/>
      <c r="AH152" s="83"/>
      <c r="AI152" s="246"/>
      <c r="AJ152" s="102"/>
      <c r="AK152" s="92"/>
      <c r="AL152" s="91"/>
      <c r="AM152" s="92"/>
      <c r="AN152" s="351"/>
      <c r="AO152" s="197">
        <f t="shared" si="11"/>
        <v>0</v>
      </c>
      <c r="AP152" s="91"/>
      <c r="AQ152" s="217"/>
      <c r="AR152" s="196"/>
      <c r="AS152" s="265"/>
      <c r="AT152" s="94"/>
      <c r="AU152" s="84"/>
      <c r="AV152" s="136"/>
      <c r="AW152" s="81"/>
      <c r="AX152" s="137"/>
      <c r="AY152" s="138"/>
      <c r="AZ152" s="220">
        <f t="shared" si="8"/>
        <v>0</v>
      </c>
      <c r="BA152" s="220">
        <f t="shared" si="9"/>
        <v>0</v>
      </c>
    </row>
    <row r="153" spans="1:53" ht="50.1" customHeight="1" x14ac:dyDescent="0.25">
      <c r="A153" s="17">
        <f t="shared" si="10"/>
        <v>139</v>
      </c>
      <c r="B153" s="228"/>
      <c r="C153" s="221"/>
      <c r="D153" s="88"/>
      <c r="E153" s="100"/>
      <c r="F153" s="95"/>
      <c r="G153" s="114"/>
      <c r="H153" s="96"/>
      <c r="I153" s="97"/>
      <c r="J153" s="98"/>
      <c r="K153" s="101"/>
      <c r="L153" s="124"/>
      <c r="M153" s="333"/>
      <c r="N153" s="341"/>
      <c r="O153" s="190"/>
      <c r="P153" s="191"/>
      <c r="Q153" s="190"/>
      <c r="R153" s="191"/>
      <c r="S153" s="294"/>
      <c r="T153" s="300"/>
      <c r="U153" s="306"/>
      <c r="V153" s="308"/>
      <c r="W153" s="248"/>
      <c r="X153" s="342"/>
      <c r="Y153" s="337"/>
      <c r="Z153" s="123"/>
      <c r="AA153" s="83"/>
      <c r="AB153" s="123"/>
      <c r="AC153" s="83"/>
      <c r="AD153" s="123"/>
      <c r="AE153" s="83"/>
      <c r="AF153" s="123"/>
      <c r="AG153" s="243"/>
      <c r="AH153" s="33"/>
      <c r="AI153" s="245"/>
      <c r="AJ153" s="125"/>
      <c r="AK153" s="92"/>
      <c r="AL153" s="126"/>
      <c r="AM153" s="91"/>
      <c r="AN153" s="91"/>
      <c r="AO153" s="197">
        <f t="shared" si="11"/>
        <v>0</v>
      </c>
      <c r="AP153" s="126"/>
      <c r="AQ153" s="217"/>
      <c r="AR153" s="201"/>
      <c r="AS153" s="266"/>
      <c r="AT153" s="94"/>
      <c r="AU153" s="84"/>
      <c r="AV153" s="80"/>
      <c r="AW153" s="81"/>
      <c r="AX153" s="77"/>
      <c r="AY153" s="107"/>
      <c r="AZ153" s="220">
        <f t="shared" si="8"/>
        <v>0</v>
      </c>
      <c r="BA153" s="220">
        <f t="shared" si="9"/>
        <v>0</v>
      </c>
    </row>
    <row r="154" spans="1:53" ht="50.1" customHeight="1" x14ac:dyDescent="0.25">
      <c r="A154" s="17">
        <f t="shared" si="10"/>
        <v>140</v>
      </c>
      <c r="B154" s="229"/>
      <c r="C154" s="222"/>
      <c r="D154" s="112"/>
      <c r="E154" s="128"/>
      <c r="F154" s="183"/>
      <c r="G154" s="130"/>
      <c r="H154" s="131"/>
      <c r="I154" s="132"/>
      <c r="J154" s="189"/>
      <c r="K154" s="133"/>
      <c r="L154" s="134"/>
      <c r="M154" s="334"/>
      <c r="N154" s="343"/>
      <c r="O154" s="193"/>
      <c r="P154" s="191"/>
      <c r="Q154" s="193"/>
      <c r="R154" s="191"/>
      <c r="S154" s="296"/>
      <c r="T154" s="302"/>
      <c r="U154" s="306"/>
      <c r="V154" s="308"/>
      <c r="W154" s="249"/>
      <c r="X154" s="344"/>
      <c r="Y154" s="337"/>
      <c r="Z154" s="33"/>
      <c r="AA154" s="83"/>
      <c r="AB154" s="33"/>
      <c r="AC154" s="83"/>
      <c r="AD154" s="33"/>
      <c r="AE154" s="83"/>
      <c r="AF154" s="33"/>
      <c r="AG154" s="244"/>
      <c r="AH154" s="83"/>
      <c r="AI154" s="246"/>
      <c r="AJ154" s="195"/>
      <c r="AK154" s="92"/>
      <c r="AL154" s="91"/>
      <c r="AM154" s="92"/>
      <c r="AN154" s="351"/>
      <c r="AO154" s="197">
        <f t="shared" si="11"/>
        <v>0</v>
      </c>
      <c r="AP154" s="91"/>
      <c r="AQ154" s="217"/>
      <c r="AR154" s="196"/>
      <c r="AS154" s="265"/>
      <c r="AT154" s="94"/>
      <c r="AU154" s="84"/>
      <c r="AV154" s="136"/>
      <c r="AW154" s="81"/>
      <c r="AX154" s="137"/>
      <c r="AY154" s="138"/>
      <c r="AZ154" s="220">
        <f t="shared" si="8"/>
        <v>0</v>
      </c>
      <c r="BA154" s="220">
        <f t="shared" si="9"/>
        <v>0</v>
      </c>
    </row>
    <row r="155" spans="1:53" ht="50.1" customHeight="1" x14ac:dyDescent="0.25">
      <c r="A155" s="17">
        <f t="shared" si="10"/>
        <v>141</v>
      </c>
      <c r="B155" s="228"/>
      <c r="C155" s="221"/>
      <c r="D155" s="88"/>
      <c r="E155" s="100"/>
      <c r="F155" s="95"/>
      <c r="G155" s="114"/>
      <c r="H155" s="96"/>
      <c r="I155" s="97"/>
      <c r="J155" s="98"/>
      <c r="K155" s="101"/>
      <c r="L155" s="124"/>
      <c r="M155" s="333"/>
      <c r="N155" s="341"/>
      <c r="O155" s="190"/>
      <c r="P155" s="191"/>
      <c r="Q155" s="190"/>
      <c r="R155" s="191"/>
      <c r="S155" s="294"/>
      <c r="T155" s="300"/>
      <c r="U155" s="306"/>
      <c r="V155" s="308"/>
      <c r="W155" s="248"/>
      <c r="X155" s="342"/>
      <c r="Y155" s="337"/>
      <c r="Z155" s="123"/>
      <c r="AA155" s="83"/>
      <c r="AB155" s="123"/>
      <c r="AC155" s="83"/>
      <c r="AD155" s="123"/>
      <c r="AE155" s="83"/>
      <c r="AF155" s="123"/>
      <c r="AG155" s="243"/>
      <c r="AH155" s="33"/>
      <c r="AI155" s="245"/>
      <c r="AJ155" s="125"/>
      <c r="AK155" s="92"/>
      <c r="AL155" s="126"/>
      <c r="AM155" s="91"/>
      <c r="AN155" s="91"/>
      <c r="AO155" s="197">
        <f t="shared" si="11"/>
        <v>0</v>
      </c>
      <c r="AP155" s="126"/>
      <c r="AQ155" s="217"/>
      <c r="AR155" s="201"/>
      <c r="AS155" s="266"/>
      <c r="AT155" s="94"/>
      <c r="AU155" s="84"/>
      <c r="AV155" s="80"/>
      <c r="AW155" s="81"/>
      <c r="AX155" s="77"/>
      <c r="AY155" s="107"/>
      <c r="AZ155" s="220">
        <f t="shared" si="8"/>
        <v>0</v>
      </c>
      <c r="BA155" s="220">
        <f t="shared" si="9"/>
        <v>0</v>
      </c>
    </row>
    <row r="156" spans="1:53" ht="50.1" customHeight="1" x14ac:dyDescent="0.25">
      <c r="A156" s="17">
        <f t="shared" si="10"/>
        <v>142</v>
      </c>
      <c r="B156" s="229"/>
      <c r="C156" s="222"/>
      <c r="D156" s="112"/>
      <c r="E156" s="128"/>
      <c r="F156" s="183"/>
      <c r="G156" s="130"/>
      <c r="H156" s="131"/>
      <c r="I156" s="132"/>
      <c r="J156" s="189"/>
      <c r="K156" s="133"/>
      <c r="L156" s="134"/>
      <c r="M156" s="334"/>
      <c r="N156" s="343"/>
      <c r="O156" s="193"/>
      <c r="P156" s="191"/>
      <c r="Q156" s="193"/>
      <c r="R156" s="191"/>
      <c r="S156" s="296"/>
      <c r="T156" s="302"/>
      <c r="U156" s="306"/>
      <c r="V156" s="308"/>
      <c r="W156" s="249"/>
      <c r="X156" s="344"/>
      <c r="Y156" s="337"/>
      <c r="Z156" s="33"/>
      <c r="AA156" s="83"/>
      <c r="AB156" s="33"/>
      <c r="AC156" s="83"/>
      <c r="AD156" s="33"/>
      <c r="AE156" s="83"/>
      <c r="AF156" s="33"/>
      <c r="AG156" s="244"/>
      <c r="AH156" s="83"/>
      <c r="AI156" s="246"/>
      <c r="AJ156" s="102"/>
      <c r="AK156" s="92"/>
      <c r="AL156" s="91"/>
      <c r="AM156" s="92"/>
      <c r="AN156" s="351"/>
      <c r="AO156" s="197">
        <f t="shared" si="11"/>
        <v>0</v>
      </c>
      <c r="AP156" s="91"/>
      <c r="AQ156" s="217"/>
      <c r="AR156" s="196"/>
      <c r="AS156" s="265"/>
      <c r="AT156" s="94"/>
      <c r="AU156" s="84"/>
      <c r="AV156" s="136"/>
      <c r="AW156" s="81"/>
      <c r="AX156" s="137"/>
      <c r="AY156" s="138"/>
      <c r="AZ156" s="220">
        <f t="shared" si="8"/>
        <v>0</v>
      </c>
      <c r="BA156" s="220">
        <f t="shared" si="9"/>
        <v>0</v>
      </c>
    </row>
    <row r="157" spans="1:53" ht="50.1" customHeight="1" x14ac:dyDescent="0.25">
      <c r="A157" s="17">
        <f t="shared" si="10"/>
        <v>143</v>
      </c>
      <c r="B157" s="228"/>
      <c r="C157" s="221"/>
      <c r="D157" s="88"/>
      <c r="E157" s="100"/>
      <c r="F157" s="95"/>
      <c r="G157" s="114"/>
      <c r="H157" s="96"/>
      <c r="I157" s="97"/>
      <c r="J157" s="98"/>
      <c r="K157" s="101"/>
      <c r="L157" s="124"/>
      <c r="M157" s="333"/>
      <c r="N157" s="341"/>
      <c r="O157" s="190"/>
      <c r="P157" s="191"/>
      <c r="Q157" s="190"/>
      <c r="R157" s="191"/>
      <c r="S157" s="294"/>
      <c r="T157" s="300"/>
      <c r="U157" s="306"/>
      <c r="V157" s="308"/>
      <c r="W157" s="248"/>
      <c r="X157" s="342"/>
      <c r="Y157" s="337"/>
      <c r="Z157" s="123"/>
      <c r="AA157" s="83"/>
      <c r="AB157" s="123"/>
      <c r="AC157" s="83"/>
      <c r="AD157" s="123"/>
      <c r="AE157" s="83"/>
      <c r="AF157" s="123"/>
      <c r="AG157" s="243"/>
      <c r="AH157" s="33"/>
      <c r="AI157" s="245"/>
      <c r="AJ157" s="125"/>
      <c r="AK157" s="92"/>
      <c r="AL157" s="126"/>
      <c r="AM157" s="91"/>
      <c r="AN157" s="91"/>
      <c r="AO157" s="197">
        <f t="shared" si="11"/>
        <v>0</v>
      </c>
      <c r="AP157" s="126"/>
      <c r="AQ157" s="217"/>
      <c r="AR157" s="201"/>
      <c r="AS157" s="266"/>
      <c r="AT157" s="94"/>
      <c r="AU157" s="84"/>
      <c r="AV157" s="80"/>
      <c r="AW157" s="81"/>
      <c r="AX157" s="77"/>
      <c r="AY157" s="107"/>
      <c r="AZ157" s="220">
        <f t="shared" si="8"/>
        <v>0</v>
      </c>
      <c r="BA157" s="220">
        <f t="shared" si="9"/>
        <v>0</v>
      </c>
    </row>
    <row r="158" spans="1:53" ht="50.1" customHeight="1" x14ac:dyDescent="0.25">
      <c r="A158" s="17">
        <f t="shared" si="10"/>
        <v>144</v>
      </c>
      <c r="B158" s="229"/>
      <c r="C158" s="222"/>
      <c r="D158" s="112"/>
      <c r="E158" s="128"/>
      <c r="F158" s="183"/>
      <c r="G158" s="130"/>
      <c r="H158" s="131"/>
      <c r="I158" s="132"/>
      <c r="J158" s="189"/>
      <c r="K158" s="133"/>
      <c r="L158" s="134"/>
      <c r="M158" s="334"/>
      <c r="N158" s="343"/>
      <c r="O158" s="192"/>
      <c r="P158" s="191"/>
      <c r="Q158" s="192"/>
      <c r="R158" s="191"/>
      <c r="S158" s="295"/>
      <c r="T158" s="301"/>
      <c r="U158" s="306"/>
      <c r="V158" s="308"/>
      <c r="W158" s="249"/>
      <c r="X158" s="344"/>
      <c r="Y158" s="337"/>
      <c r="Z158" s="33"/>
      <c r="AA158" s="83"/>
      <c r="AB158" s="33"/>
      <c r="AC158" s="83"/>
      <c r="AD158" s="33"/>
      <c r="AE158" s="83"/>
      <c r="AF158" s="33"/>
      <c r="AG158" s="244"/>
      <c r="AH158" s="83"/>
      <c r="AI158" s="246"/>
      <c r="AJ158" s="102"/>
      <c r="AK158" s="92"/>
      <c r="AL158" s="91"/>
      <c r="AM158" s="92"/>
      <c r="AN158" s="351"/>
      <c r="AO158" s="197">
        <f t="shared" si="11"/>
        <v>0</v>
      </c>
      <c r="AP158" s="91"/>
      <c r="AQ158" s="217"/>
      <c r="AR158" s="196"/>
      <c r="AS158" s="265"/>
      <c r="AT158" s="94"/>
      <c r="AU158" s="84"/>
      <c r="AV158" s="136"/>
      <c r="AW158" s="81"/>
      <c r="AX158" s="137"/>
      <c r="AY158" s="138"/>
      <c r="AZ158" s="220">
        <f t="shared" si="8"/>
        <v>0</v>
      </c>
      <c r="BA158" s="220">
        <f t="shared" si="9"/>
        <v>0</v>
      </c>
    </row>
    <row r="159" spans="1:53" ht="50.1" customHeight="1" x14ac:dyDescent="0.25">
      <c r="A159" s="17">
        <f t="shared" si="10"/>
        <v>145</v>
      </c>
      <c r="B159" s="228"/>
      <c r="C159" s="221"/>
      <c r="D159" s="88"/>
      <c r="E159" s="100"/>
      <c r="F159" s="95"/>
      <c r="G159" s="114"/>
      <c r="H159" s="96"/>
      <c r="I159" s="97"/>
      <c r="J159" s="98"/>
      <c r="K159" s="101"/>
      <c r="L159" s="124"/>
      <c r="M159" s="333"/>
      <c r="N159" s="341"/>
      <c r="O159" s="190"/>
      <c r="P159" s="191"/>
      <c r="Q159" s="190"/>
      <c r="R159" s="191"/>
      <c r="S159" s="294"/>
      <c r="T159" s="300"/>
      <c r="U159" s="306"/>
      <c r="V159" s="308"/>
      <c r="W159" s="248"/>
      <c r="X159" s="342"/>
      <c r="Y159" s="337"/>
      <c r="Z159" s="123"/>
      <c r="AA159" s="83"/>
      <c r="AB159" s="123"/>
      <c r="AC159" s="83"/>
      <c r="AD159" s="123"/>
      <c r="AE159" s="83"/>
      <c r="AF159" s="123"/>
      <c r="AG159" s="243"/>
      <c r="AH159" s="33"/>
      <c r="AI159" s="245"/>
      <c r="AJ159" s="125"/>
      <c r="AK159" s="92"/>
      <c r="AL159" s="126"/>
      <c r="AM159" s="91"/>
      <c r="AN159" s="91"/>
      <c r="AO159" s="197">
        <f t="shared" si="11"/>
        <v>0</v>
      </c>
      <c r="AP159" s="126"/>
      <c r="AQ159" s="217"/>
      <c r="AR159" s="201"/>
      <c r="AS159" s="266"/>
      <c r="AT159" s="94"/>
      <c r="AU159" s="84"/>
      <c r="AV159" s="80"/>
      <c r="AW159" s="81"/>
      <c r="AX159" s="77"/>
      <c r="AY159" s="107"/>
      <c r="AZ159" s="220">
        <f t="shared" si="8"/>
        <v>0</v>
      </c>
      <c r="BA159" s="220">
        <f t="shared" si="9"/>
        <v>0</v>
      </c>
    </row>
    <row r="160" spans="1:53" ht="50.1" customHeight="1" x14ac:dyDescent="0.25">
      <c r="A160" s="17">
        <f t="shared" si="10"/>
        <v>146</v>
      </c>
      <c r="B160" s="229"/>
      <c r="C160" s="222"/>
      <c r="D160" s="112"/>
      <c r="E160" s="128"/>
      <c r="F160" s="183"/>
      <c r="G160" s="130"/>
      <c r="H160" s="131"/>
      <c r="I160" s="132"/>
      <c r="J160" s="189"/>
      <c r="K160" s="133"/>
      <c r="L160" s="134"/>
      <c r="M160" s="334"/>
      <c r="N160" s="343"/>
      <c r="O160" s="193"/>
      <c r="P160" s="191"/>
      <c r="Q160" s="193"/>
      <c r="R160" s="191"/>
      <c r="S160" s="296"/>
      <c r="T160" s="302"/>
      <c r="U160" s="306"/>
      <c r="V160" s="308"/>
      <c r="W160" s="249"/>
      <c r="X160" s="344"/>
      <c r="Y160" s="337"/>
      <c r="Z160" s="33"/>
      <c r="AA160" s="83"/>
      <c r="AB160" s="33"/>
      <c r="AC160" s="83"/>
      <c r="AD160" s="33"/>
      <c r="AE160" s="83"/>
      <c r="AF160" s="33"/>
      <c r="AG160" s="244"/>
      <c r="AH160" s="83"/>
      <c r="AI160" s="246"/>
      <c r="AJ160" s="102"/>
      <c r="AK160" s="92"/>
      <c r="AL160" s="91"/>
      <c r="AM160" s="92"/>
      <c r="AN160" s="351"/>
      <c r="AO160" s="197">
        <f t="shared" si="11"/>
        <v>0</v>
      </c>
      <c r="AP160" s="91"/>
      <c r="AQ160" s="217"/>
      <c r="AR160" s="196"/>
      <c r="AS160" s="265"/>
      <c r="AT160" s="94"/>
      <c r="AU160" s="84"/>
      <c r="AV160" s="136"/>
      <c r="AW160" s="81"/>
      <c r="AX160" s="137"/>
      <c r="AY160" s="138"/>
      <c r="AZ160" s="220">
        <f t="shared" si="8"/>
        <v>0</v>
      </c>
      <c r="BA160" s="220">
        <f t="shared" si="9"/>
        <v>0</v>
      </c>
    </row>
    <row r="161" spans="1:53" ht="50.1" customHeight="1" x14ac:dyDescent="0.25">
      <c r="A161" s="17">
        <f t="shared" si="10"/>
        <v>147</v>
      </c>
      <c r="B161" s="228"/>
      <c r="C161" s="221"/>
      <c r="D161" s="88"/>
      <c r="E161" s="100"/>
      <c r="F161" s="95"/>
      <c r="G161" s="114"/>
      <c r="H161" s="96"/>
      <c r="I161" s="97"/>
      <c r="J161" s="98"/>
      <c r="K161" s="101"/>
      <c r="L161" s="124"/>
      <c r="M161" s="333"/>
      <c r="N161" s="341"/>
      <c r="O161" s="190"/>
      <c r="P161" s="191"/>
      <c r="Q161" s="190"/>
      <c r="R161" s="191"/>
      <c r="S161" s="294"/>
      <c r="T161" s="300"/>
      <c r="U161" s="306"/>
      <c r="V161" s="308"/>
      <c r="W161" s="248"/>
      <c r="X161" s="345"/>
      <c r="Y161" s="337"/>
      <c r="Z161" s="123"/>
      <c r="AA161" s="83"/>
      <c r="AB161" s="123"/>
      <c r="AC161" s="83"/>
      <c r="AD161" s="123"/>
      <c r="AE161" s="83"/>
      <c r="AF161" s="123"/>
      <c r="AG161" s="243"/>
      <c r="AH161" s="123"/>
      <c r="AI161" s="245"/>
      <c r="AJ161" s="125"/>
      <c r="AK161" s="92"/>
      <c r="AL161" s="126"/>
      <c r="AM161" s="91"/>
      <c r="AN161" s="91"/>
      <c r="AO161" s="197">
        <f t="shared" si="11"/>
        <v>0</v>
      </c>
      <c r="AP161" s="126"/>
      <c r="AQ161" s="217"/>
      <c r="AR161" s="201"/>
      <c r="AS161" s="266"/>
      <c r="AT161" s="94"/>
      <c r="AU161" s="84"/>
      <c r="AV161" s="80"/>
      <c r="AW161" s="81"/>
      <c r="AX161" s="77"/>
      <c r="AY161" s="107"/>
      <c r="AZ161" s="220">
        <f t="shared" si="8"/>
        <v>0</v>
      </c>
      <c r="BA161" s="220">
        <f t="shared" si="9"/>
        <v>0</v>
      </c>
    </row>
    <row r="162" spans="1:53" ht="50.1" customHeight="1" x14ac:dyDescent="0.25">
      <c r="A162" s="17">
        <f t="shared" si="10"/>
        <v>148</v>
      </c>
      <c r="B162" s="229"/>
      <c r="C162" s="222"/>
      <c r="D162" s="112"/>
      <c r="E162" s="128"/>
      <c r="F162" s="183"/>
      <c r="G162" s="130"/>
      <c r="H162" s="131"/>
      <c r="I162" s="132"/>
      <c r="J162" s="189"/>
      <c r="K162" s="133"/>
      <c r="L162" s="134"/>
      <c r="M162" s="334"/>
      <c r="N162" s="343"/>
      <c r="O162" s="192"/>
      <c r="P162" s="191"/>
      <c r="Q162" s="192"/>
      <c r="R162" s="191"/>
      <c r="S162" s="295"/>
      <c r="T162" s="301"/>
      <c r="U162" s="306"/>
      <c r="V162" s="308"/>
      <c r="W162" s="249"/>
      <c r="X162" s="345"/>
      <c r="Y162" s="337"/>
      <c r="Z162" s="33"/>
      <c r="AA162" s="83"/>
      <c r="AB162" s="33"/>
      <c r="AC162" s="83"/>
      <c r="AD162" s="33"/>
      <c r="AE162" s="83"/>
      <c r="AF162" s="33"/>
      <c r="AG162" s="244"/>
      <c r="AH162" s="83"/>
      <c r="AI162" s="246"/>
      <c r="AJ162" s="102"/>
      <c r="AK162" s="92"/>
      <c r="AL162" s="91"/>
      <c r="AM162" s="92"/>
      <c r="AN162" s="351"/>
      <c r="AO162" s="197">
        <f t="shared" si="11"/>
        <v>0</v>
      </c>
      <c r="AP162" s="91"/>
      <c r="AQ162" s="217"/>
      <c r="AR162" s="196"/>
      <c r="AS162" s="265"/>
      <c r="AT162" s="94"/>
      <c r="AU162" s="84"/>
      <c r="AV162" s="136"/>
      <c r="AW162" s="81"/>
      <c r="AX162" s="137"/>
      <c r="AY162" s="138"/>
      <c r="AZ162" s="220">
        <f t="shared" si="8"/>
        <v>0</v>
      </c>
      <c r="BA162" s="220">
        <f t="shared" si="9"/>
        <v>0</v>
      </c>
    </row>
    <row r="163" spans="1:53" ht="50.1" customHeight="1" x14ac:dyDescent="0.25">
      <c r="A163" s="17">
        <f t="shared" si="10"/>
        <v>149</v>
      </c>
      <c r="B163" s="228"/>
      <c r="C163" s="221"/>
      <c r="D163" s="88"/>
      <c r="E163" s="100"/>
      <c r="F163" s="95"/>
      <c r="G163" s="114"/>
      <c r="H163" s="96"/>
      <c r="I163" s="97"/>
      <c r="J163" s="98"/>
      <c r="K163" s="101"/>
      <c r="L163" s="124"/>
      <c r="M163" s="333"/>
      <c r="N163" s="341"/>
      <c r="O163" s="190"/>
      <c r="P163" s="191"/>
      <c r="Q163" s="190"/>
      <c r="R163" s="191"/>
      <c r="S163" s="294"/>
      <c r="T163" s="300"/>
      <c r="U163" s="306"/>
      <c r="V163" s="308"/>
      <c r="W163" s="248"/>
      <c r="X163" s="345"/>
      <c r="Y163" s="337"/>
      <c r="Z163" s="123"/>
      <c r="AA163" s="83"/>
      <c r="AB163" s="123"/>
      <c r="AC163" s="83"/>
      <c r="AD163" s="123"/>
      <c r="AE163" s="83"/>
      <c r="AF163" s="123"/>
      <c r="AG163" s="243"/>
      <c r="AH163" s="123"/>
      <c r="AI163" s="245"/>
      <c r="AJ163" s="125"/>
      <c r="AK163" s="92"/>
      <c r="AL163" s="126"/>
      <c r="AM163" s="91"/>
      <c r="AN163" s="91"/>
      <c r="AO163" s="197">
        <f t="shared" si="11"/>
        <v>0</v>
      </c>
      <c r="AP163" s="126"/>
      <c r="AQ163" s="217"/>
      <c r="AR163" s="201"/>
      <c r="AS163" s="266"/>
      <c r="AT163" s="94"/>
      <c r="AU163" s="84"/>
      <c r="AV163" s="80"/>
      <c r="AW163" s="81"/>
      <c r="AX163" s="77"/>
      <c r="AY163" s="107"/>
      <c r="AZ163" s="220">
        <f t="shared" si="8"/>
        <v>0</v>
      </c>
      <c r="BA163" s="220">
        <f t="shared" si="9"/>
        <v>0</v>
      </c>
    </row>
    <row r="164" spans="1:53" ht="50.1" customHeight="1" x14ac:dyDescent="0.25">
      <c r="A164" s="17">
        <f t="shared" si="10"/>
        <v>150</v>
      </c>
      <c r="B164" s="229"/>
      <c r="C164" s="222"/>
      <c r="D164" s="112"/>
      <c r="E164" s="128"/>
      <c r="F164" s="183"/>
      <c r="G164" s="130"/>
      <c r="H164" s="131"/>
      <c r="I164" s="132"/>
      <c r="J164" s="189"/>
      <c r="K164" s="133"/>
      <c r="L164" s="134"/>
      <c r="M164" s="334"/>
      <c r="N164" s="343"/>
      <c r="O164" s="192"/>
      <c r="P164" s="191"/>
      <c r="Q164" s="192"/>
      <c r="R164" s="191"/>
      <c r="S164" s="295"/>
      <c r="T164" s="301"/>
      <c r="U164" s="306"/>
      <c r="V164" s="308"/>
      <c r="W164" s="249"/>
      <c r="X164" s="345"/>
      <c r="Y164" s="337"/>
      <c r="Z164" s="33"/>
      <c r="AA164" s="83"/>
      <c r="AB164" s="33"/>
      <c r="AC164" s="83"/>
      <c r="AD164" s="33"/>
      <c r="AE164" s="83"/>
      <c r="AF164" s="33"/>
      <c r="AG164" s="244"/>
      <c r="AH164" s="83"/>
      <c r="AI164" s="246"/>
      <c r="AJ164" s="102"/>
      <c r="AK164" s="92"/>
      <c r="AL164" s="91"/>
      <c r="AM164" s="92"/>
      <c r="AN164" s="351"/>
      <c r="AO164" s="197">
        <f t="shared" si="11"/>
        <v>0</v>
      </c>
      <c r="AP164" s="91"/>
      <c r="AQ164" s="217"/>
      <c r="AR164" s="196"/>
      <c r="AS164" s="265"/>
      <c r="AT164" s="94"/>
      <c r="AU164" s="84"/>
      <c r="AV164" s="136"/>
      <c r="AW164" s="81"/>
      <c r="AX164" s="137"/>
      <c r="AY164" s="138"/>
      <c r="AZ164" s="220">
        <f t="shared" si="8"/>
        <v>0</v>
      </c>
      <c r="BA164" s="220">
        <f t="shared" si="9"/>
        <v>0</v>
      </c>
    </row>
    <row r="165" spans="1:53" ht="50.1" customHeight="1" x14ac:dyDescent="0.25">
      <c r="A165" s="17">
        <f t="shared" si="10"/>
        <v>151</v>
      </c>
      <c r="B165" s="228"/>
      <c r="C165" s="221"/>
      <c r="D165" s="88"/>
      <c r="E165" s="100"/>
      <c r="F165" s="95"/>
      <c r="G165" s="114"/>
      <c r="H165" s="96"/>
      <c r="I165" s="97"/>
      <c r="J165" s="98"/>
      <c r="K165" s="101"/>
      <c r="L165" s="124"/>
      <c r="M165" s="333"/>
      <c r="N165" s="341"/>
      <c r="O165" s="190"/>
      <c r="P165" s="191"/>
      <c r="Q165" s="190"/>
      <c r="R165" s="191"/>
      <c r="S165" s="294"/>
      <c r="T165" s="300"/>
      <c r="U165" s="306"/>
      <c r="V165" s="308"/>
      <c r="W165" s="248"/>
      <c r="X165" s="342"/>
      <c r="Y165" s="337"/>
      <c r="Z165" s="123"/>
      <c r="AA165" s="83"/>
      <c r="AB165" s="123"/>
      <c r="AC165" s="83"/>
      <c r="AD165" s="123"/>
      <c r="AE165" s="83"/>
      <c r="AF165" s="123"/>
      <c r="AG165" s="243"/>
      <c r="AH165" s="33"/>
      <c r="AI165" s="245"/>
      <c r="AJ165" s="125"/>
      <c r="AK165" s="92"/>
      <c r="AL165" s="126"/>
      <c r="AM165" s="91"/>
      <c r="AN165" s="91"/>
      <c r="AO165" s="197">
        <f t="shared" si="11"/>
        <v>0</v>
      </c>
      <c r="AP165" s="126"/>
      <c r="AQ165" s="217"/>
      <c r="AR165" s="201"/>
      <c r="AS165" s="266"/>
      <c r="AT165" s="94"/>
      <c r="AU165" s="84"/>
      <c r="AV165" s="80"/>
      <c r="AW165" s="81"/>
      <c r="AX165" s="77"/>
      <c r="AY165" s="107"/>
      <c r="AZ165" s="220">
        <f t="shared" si="8"/>
        <v>0</v>
      </c>
      <c r="BA165" s="220">
        <f t="shared" si="9"/>
        <v>0</v>
      </c>
    </row>
    <row r="166" spans="1:53" ht="50.1" customHeight="1" x14ac:dyDescent="0.25">
      <c r="A166" s="17">
        <f t="shared" si="10"/>
        <v>152</v>
      </c>
      <c r="B166" s="229"/>
      <c r="C166" s="222"/>
      <c r="D166" s="112"/>
      <c r="E166" s="128"/>
      <c r="F166" s="183"/>
      <c r="G166" s="130"/>
      <c r="H166" s="131"/>
      <c r="I166" s="132"/>
      <c r="J166" s="189"/>
      <c r="K166" s="133"/>
      <c r="L166" s="134"/>
      <c r="M166" s="334"/>
      <c r="N166" s="343"/>
      <c r="O166" s="192"/>
      <c r="P166" s="191"/>
      <c r="Q166" s="192"/>
      <c r="R166" s="191"/>
      <c r="S166" s="295"/>
      <c r="T166" s="301"/>
      <c r="U166" s="306"/>
      <c r="V166" s="308"/>
      <c r="W166" s="249"/>
      <c r="X166" s="344"/>
      <c r="Y166" s="337"/>
      <c r="Z166" s="33"/>
      <c r="AA166" s="83"/>
      <c r="AB166" s="33"/>
      <c r="AC166" s="83"/>
      <c r="AD166" s="33"/>
      <c r="AE166" s="83"/>
      <c r="AF166" s="33"/>
      <c r="AG166" s="244"/>
      <c r="AH166" s="83"/>
      <c r="AI166" s="246"/>
      <c r="AJ166" s="102"/>
      <c r="AK166" s="92"/>
      <c r="AL166" s="91"/>
      <c r="AM166" s="92"/>
      <c r="AN166" s="351"/>
      <c r="AO166" s="197">
        <f t="shared" si="11"/>
        <v>0</v>
      </c>
      <c r="AP166" s="91"/>
      <c r="AQ166" s="217"/>
      <c r="AR166" s="196"/>
      <c r="AS166" s="265"/>
      <c r="AT166" s="94"/>
      <c r="AU166" s="84"/>
      <c r="AV166" s="136"/>
      <c r="AW166" s="81"/>
      <c r="AX166" s="137"/>
      <c r="AY166" s="138"/>
      <c r="AZ166" s="220">
        <f t="shared" si="8"/>
        <v>0</v>
      </c>
      <c r="BA166" s="220">
        <f t="shared" si="9"/>
        <v>0</v>
      </c>
    </row>
    <row r="167" spans="1:53" ht="50.1" customHeight="1" x14ac:dyDescent="0.25">
      <c r="A167" s="17">
        <f t="shared" si="10"/>
        <v>153</v>
      </c>
      <c r="B167" s="228"/>
      <c r="C167" s="221"/>
      <c r="D167" s="88"/>
      <c r="E167" s="100"/>
      <c r="F167" s="95"/>
      <c r="G167" s="114"/>
      <c r="H167" s="96"/>
      <c r="I167" s="97"/>
      <c r="J167" s="98"/>
      <c r="K167" s="101"/>
      <c r="L167" s="124"/>
      <c r="M167" s="333"/>
      <c r="N167" s="341"/>
      <c r="O167" s="190"/>
      <c r="P167" s="191"/>
      <c r="Q167" s="190"/>
      <c r="R167" s="191"/>
      <c r="S167" s="294"/>
      <c r="T167" s="300"/>
      <c r="U167" s="306"/>
      <c r="V167" s="308"/>
      <c r="W167" s="248"/>
      <c r="X167" s="342"/>
      <c r="Y167" s="337"/>
      <c r="Z167" s="123"/>
      <c r="AA167" s="83"/>
      <c r="AB167" s="123"/>
      <c r="AC167" s="83"/>
      <c r="AD167" s="123"/>
      <c r="AE167" s="83"/>
      <c r="AF167" s="123"/>
      <c r="AG167" s="243"/>
      <c r="AH167" s="33"/>
      <c r="AI167" s="245"/>
      <c r="AJ167" s="125"/>
      <c r="AK167" s="92"/>
      <c r="AL167" s="126"/>
      <c r="AM167" s="91"/>
      <c r="AN167" s="91"/>
      <c r="AO167" s="197">
        <f t="shared" si="11"/>
        <v>0</v>
      </c>
      <c r="AP167" s="126"/>
      <c r="AQ167" s="217"/>
      <c r="AR167" s="201"/>
      <c r="AS167" s="266"/>
      <c r="AT167" s="94"/>
      <c r="AU167" s="84"/>
      <c r="AV167" s="80"/>
      <c r="AW167" s="81"/>
      <c r="AX167" s="77"/>
      <c r="AY167" s="107"/>
      <c r="AZ167" s="220">
        <f t="shared" si="8"/>
        <v>0</v>
      </c>
      <c r="BA167" s="220">
        <f t="shared" si="9"/>
        <v>0</v>
      </c>
    </row>
    <row r="168" spans="1:53" ht="50.1" customHeight="1" x14ac:dyDescent="0.25">
      <c r="A168" s="17">
        <f t="shared" si="10"/>
        <v>154</v>
      </c>
      <c r="B168" s="229"/>
      <c r="C168" s="222"/>
      <c r="D168" s="112"/>
      <c r="E168" s="128"/>
      <c r="F168" s="183"/>
      <c r="G168" s="130"/>
      <c r="H168" s="131"/>
      <c r="I168" s="132"/>
      <c r="J168" s="189"/>
      <c r="K168" s="133"/>
      <c r="L168" s="134"/>
      <c r="M168" s="334"/>
      <c r="N168" s="343"/>
      <c r="O168" s="192"/>
      <c r="P168" s="191"/>
      <c r="Q168" s="192"/>
      <c r="R168" s="191"/>
      <c r="S168" s="295"/>
      <c r="T168" s="301"/>
      <c r="U168" s="306"/>
      <c r="V168" s="308"/>
      <c r="W168" s="249"/>
      <c r="X168" s="344"/>
      <c r="Y168" s="337"/>
      <c r="Z168" s="33"/>
      <c r="AA168" s="83"/>
      <c r="AB168" s="33"/>
      <c r="AC168" s="83"/>
      <c r="AD168" s="33"/>
      <c r="AE168" s="83"/>
      <c r="AF168" s="33"/>
      <c r="AG168" s="244"/>
      <c r="AH168" s="83"/>
      <c r="AI168" s="246"/>
      <c r="AJ168" s="102"/>
      <c r="AK168" s="92"/>
      <c r="AL168" s="91"/>
      <c r="AM168" s="92"/>
      <c r="AN168" s="351"/>
      <c r="AO168" s="197">
        <f t="shared" si="11"/>
        <v>0</v>
      </c>
      <c r="AP168" s="91"/>
      <c r="AQ168" s="217"/>
      <c r="AR168" s="196"/>
      <c r="AS168" s="265"/>
      <c r="AT168" s="94"/>
      <c r="AU168" s="84"/>
      <c r="AV168" s="136"/>
      <c r="AW168" s="81"/>
      <c r="AX168" s="137"/>
      <c r="AY168" s="138"/>
      <c r="AZ168" s="220">
        <f t="shared" si="8"/>
        <v>0</v>
      </c>
      <c r="BA168" s="220">
        <f t="shared" si="9"/>
        <v>0</v>
      </c>
    </row>
    <row r="169" spans="1:53" ht="50.1" customHeight="1" x14ac:dyDescent="0.25">
      <c r="A169" s="17">
        <f t="shared" si="10"/>
        <v>155</v>
      </c>
      <c r="B169" s="228"/>
      <c r="C169" s="221"/>
      <c r="D169" s="88"/>
      <c r="E169" s="100"/>
      <c r="F169" s="95"/>
      <c r="G169" s="114"/>
      <c r="H169" s="96"/>
      <c r="I169" s="97"/>
      <c r="J169" s="98"/>
      <c r="K169" s="101"/>
      <c r="L169" s="124"/>
      <c r="M169" s="333"/>
      <c r="N169" s="341"/>
      <c r="O169" s="190"/>
      <c r="P169" s="191"/>
      <c r="Q169" s="190"/>
      <c r="R169" s="191"/>
      <c r="S169" s="294"/>
      <c r="T169" s="300"/>
      <c r="U169" s="306"/>
      <c r="V169" s="308"/>
      <c r="W169" s="248"/>
      <c r="X169" s="342"/>
      <c r="Y169" s="337"/>
      <c r="Z169" s="123"/>
      <c r="AA169" s="83"/>
      <c r="AB169" s="123"/>
      <c r="AC169" s="83"/>
      <c r="AD169" s="123"/>
      <c r="AE169" s="83"/>
      <c r="AF169" s="123"/>
      <c r="AG169" s="243"/>
      <c r="AH169" s="33"/>
      <c r="AI169" s="245"/>
      <c r="AJ169" s="125"/>
      <c r="AK169" s="92"/>
      <c r="AL169" s="126"/>
      <c r="AM169" s="91"/>
      <c r="AN169" s="91"/>
      <c r="AO169" s="197">
        <f t="shared" si="11"/>
        <v>0</v>
      </c>
      <c r="AP169" s="126"/>
      <c r="AQ169" s="217"/>
      <c r="AR169" s="201"/>
      <c r="AS169" s="266"/>
      <c r="AT169" s="94"/>
      <c r="AU169" s="84"/>
      <c r="AV169" s="80"/>
      <c r="AW169" s="81"/>
      <c r="AX169" s="77"/>
      <c r="AY169" s="107"/>
      <c r="AZ169" s="220">
        <f t="shared" si="8"/>
        <v>0</v>
      </c>
      <c r="BA169" s="220">
        <f t="shared" si="9"/>
        <v>0</v>
      </c>
    </row>
    <row r="170" spans="1:53" ht="50.1" customHeight="1" x14ac:dyDescent="0.25">
      <c r="A170" s="17">
        <f t="shared" si="10"/>
        <v>156</v>
      </c>
      <c r="B170" s="229"/>
      <c r="C170" s="222"/>
      <c r="D170" s="112"/>
      <c r="E170" s="128"/>
      <c r="F170" s="183"/>
      <c r="G170" s="130"/>
      <c r="H170" s="131"/>
      <c r="I170" s="132"/>
      <c r="J170" s="189"/>
      <c r="K170" s="133"/>
      <c r="L170" s="134"/>
      <c r="M170" s="334"/>
      <c r="N170" s="343"/>
      <c r="O170" s="193"/>
      <c r="P170" s="191"/>
      <c r="Q170" s="193"/>
      <c r="R170" s="191"/>
      <c r="S170" s="296"/>
      <c r="T170" s="302"/>
      <c r="U170" s="306"/>
      <c r="V170" s="308"/>
      <c r="W170" s="249"/>
      <c r="X170" s="344"/>
      <c r="Y170" s="337"/>
      <c r="Z170" s="33"/>
      <c r="AA170" s="83"/>
      <c r="AB170" s="33"/>
      <c r="AC170" s="83"/>
      <c r="AD170" s="33"/>
      <c r="AE170" s="83"/>
      <c r="AF170" s="33"/>
      <c r="AG170" s="244"/>
      <c r="AH170" s="83"/>
      <c r="AI170" s="246"/>
      <c r="AJ170" s="195"/>
      <c r="AK170" s="92"/>
      <c r="AL170" s="91"/>
      <c r="AM170" s="92"/>
      <c r="AN170" s="351"/>
      <c r="AO170" s="197">
        <f t="shared" si="11"/>
        <v>0</v>
      </c>
      <c r="AP170" s="91"/>
      <c r="AQ170" s="217"/>
      <c r="AR170" s="196"/>
      <c r="AS170" s="265"/>
      <c r="AT170" s="94"/>
      <c r="AU170" s="84"/>
      <c r="AV170" s="136"/>
      <c r="AW170" s="81"/>
      <c r="AX170" s="137"/>
      <c r="AY170" s="138"/>
      <c r="AZ170" s="220">
        <f t="shared" si="8"/>
        <v>0</v>
      </c>
      <c r="BA170" s="220">
        <f t="shared" si="9"/>
        <v>0</v>
      </c>
    </row>
    <row r="171" spans="1:53" ht="50.1" customHeight="1" x14ac:dyDescent="0.25">
      <c r="A171" s="17">
        <f t="shared" si="10"/>
        <v>157</v>
      </c>
      <c r="B171" s="228"/>
      <c r="C171" s="221"/>
      <c r="D171" s="88"/>
      <c r="E171" s="100"/>
      <c r="F171" s="95"/>
      <c r="G171" s="114"/>
      <c r="H171" s="96"/>
      <c r="I171" s="97"/>
      <c r="J171" s="98"/>
      <c r="K171" s="101"/>
      <c r="L171" s="124"/>
      <c r="M171" s="333"/>
      <c r="N171" s="341"/>
      <c r="O171" s="190"/>
      <c r="P171" s="191"/>
      <c r="Q171" s="190"/>
      <c r="R171" s="191"/>
      <c r="S171" s="294"/>
      <c r="T171" s="300"/>
      <c r="U171" s="306"/>
      <c r="V171" s="308"/>
      <c r="W171" s="248"/>
      <c r="X171" s="342"/>
      <c r="Y171" s="337"/>
      <c r="Z171" s="123"/>
      <c r="AA171" s="83"/>
      <c r="AB171" s="123"/>
      <c r="AC171" s="83"/>
      <c r="AD171" s="123"/>
      <c r="AE171" s="83"/>
      <c r="AF171" s="123"/>
      <c r="AG171" s="243"/>
      <c r="AH171" s="33"/>
      <c r="AI171" s="245"/>
      <c r="AJ171" s="198"/>
      <c r="AK171" s="92"/>
      <c r="AL171" s="126"/>
      <c r="AM171" s="91"/>
      <c r="AN171" s="91"/>
      <c r="AO171" s="197">
        <f t="shared" si="11"/>
        <v>0</v>
      </c>
      <c r="AP171" s="126"/>
      <c r="AQ171" s="217"/>
      <c r="AR171" s="201"/>
      <c r="AS171" s="266"/>
      <c r="AT171" s="94"/>
      <c r="AU171" s="84"/>
      <c r="AV171" s="80"/>
      <c r="AW171" s="81"/>
      <c r="AX171" s="77"/>
      <c r="AY171" s="107"/>
      <c r="AZ171" s="220">
        <f t="shared" si="8"/>
        <v>0</v>
      </c>
      <c r="BA171" s="220">
        <f t="shared" si="9"/>
        <v>0</v>
      </c>
    </row>
    <row r="172" spans="1:53" ht="50.1" customHeight="1" x14ac:dyDescent="0.25">
      <c r="A172" s="17">
        <f t="shared" si="10"/>
        <v>158</v>
      </c>
      <c r="B172" s="229"/>
      <c r="C172" s="222"/>
      <c r="D172" s="112"/>
      <c r="E172" s="128"/>
      <c r="F172" s="183"/>
      <c r="G172" s="130"/>
      <c r="H172" s="131"/>
      <c r="I172" s="132"/>
      <c r="J172" s="189"/>
      <c r="K172" s="133"/>
      <c r="L172" s="134"/>
      <c r="M172" s="334"/>
      <c r="N172" s="343"/>
      <c r="O172" s="192"/>
      <c r="P172" s="191"/>
      <c r="Q172" s="192"/>
      <c r="R172" s="191"/>
      <c r="S172" s="295"/>
      <c r="T172" s="301"/>
      <c r="U172" s="306"/>
      <c r="V172" s="308"/>
      <c r="W172" s="249"/>
      <c r="X172" s="344"/>
      <c r="Y172" s="337"/>
      <c r="Z172" s="33"/>
      <c r="AA172" s="83"/>
      <c r="AB172" s="33"/>
      <c r="AC172" s="83"/>
      <c r="AD172" s="33"/>
      <c r="AE172" s="83"/>
      <c r="AF172" s="33"/>
      <c r="AG172" s="244"/>
      <c r="AH172" s="83"/>
      <c r="AI172" s="246"/>
      <c r="AJ172" s="195"/>
      <c r="AK172" s="92"/>
      <c r="AL172" s="91"/>
      <c r="AM172" s="92"/>
      <c r="AN172" s="351"/>
      <c r="AO172" s="197">
        <f t="shared" si="11"/>
        <v>0</v>
      </c>
      <c r="AP172" s="91"/>
      <c r="AQ172" s="217"/>
      <c r="AR172" s="196"/>
      <c r="AS172" s="265"/>
      <c r="AT172" s="94"/>
      <c r="AU172" s="84"/>
      <c r="AV172" s="136"/>
      <c r="AW172" s="81"/>
      <c r="AX172" s="137"/>
      <c r="AY172" s="138"/>
      <c r="AZ172" s="220">
        <f t="shared" si="8"/>
        <v>0</v>
      </c>
      <c r="BA172" s="220">
        <f t="shared" si="9"/>
        <v>0</v>
      </c>
    </row>
    <row r="173" spans="1:53" ht="50.1" customHeight="1" x14ac:dyDescent="0.25">
      <c r="A173" s="17">
        <f t="shared" si="10"/>
        <v>159</v>
      </c>
      <c r="B173" s="228"/>
      <c r="C173" s="221"/>
      <c r="D173" s="88"/>
      <c r="E173" s="100"/>
      <c r="F173" s="95"/>
      <c r="G173" s="114"/>
      <c r="H173" s="96"/>
      <c r="I173" s="97"/>
      <c r="J173" s="98"/>
      <c r="K173" s="101"/>
      <c r="L173" s="124"/>
      <c r="M173" s="333"/>
      <c r="N173" s="341"/>
      <c r="O173" s="190"/>
      <c r="P173" s="191"/>
      <c r="Q173" s="190"/>
      <c r="R173" s="191"/>
      <c r="S173" s="294"/>
      <c r="T173" s="300"/>
      <c r="U173" s="306"/>
      <c r="V173" s="308"/>
      <c r="W173" s="248"/>
      <c r="X173" s="342"/>
      <c r="Y173" s="337"/>
      <c r="Z173" s="123"/>
      <c r="AA173" s="83"/>
      <c r="AB173" s="123"/>
      <c r="AC173" s="83"/>
      <c r="AD173" s="123"/>
      <c r="AE173" s="83"/>
      <c r="AF173" s="123"/>
      <c r="AG173" s="243"/>
      <c r="AH173" s="33"/>
      <c r="AI173" s="245"/>
      <c r="AJ173" s="125"/>
      <c r="AK173" s="92"/>
      <c r="AL173" s="126"/>
      <c r="AM173" s="91"/>
      <c r="AN173" s="91"/>
      <c r="AO173" s="197">
        <f t="shared" si="11"/>
        <v>0</v>
      </c>
      <c r="AP173" s="126"/>
      <c r="AQ173" s="217"/>
      <c r="AR173" s="201"/>
      <c r="AS173" s="266"/>
      <c r="AT173" s="94"/>
      <c r="AU173" s="84"/>
      <c r="AV173" s="80"/>
      <c r="AW173" s="81"/>
      <c r="AX173" s="77"/>
      <c r="AY173" s="107"/>
      <c r="AZ173" s="220">
        <f t="shared" si="8"/>
        <v>0</v>
      </c>
      <c r="BA173" s="220">
        <f t="shared" si="9"/>
        <v>0</v>
      </c>
    </row>
    <row r="174" spans="1:53" ht="50.1" customHeight="1" x14ac:dyDescent="0.25">
      <c r="A174" s="17">
        <f t="shared" si="10"/>
        <v>160</v>
      </c>
      <c r="B174" s="229"/>
      <c r="C174" s="222"/>
      <c r="D174" s="112"/>
      <c r="E174" s="128"/>
      <c r="F174" s="183"/>
      <c r="G174" s="130"/>
      <c r="H174" s="131"/>
      <c r="I174" s="132"/>
      <c r="J174" s="189"/>
      <c r="K174" s="133"/>
      <c r="L174" s="134"/>
      <c r="M174" s="334"/>
      <c r="N174" s="343"/>
      <c r="O174" s="192"/>
      <c r="P174" s="191"/>
      <c r="Q174" s="192"/>
      <c r="R174" s="191"/>
      <c r="S174" s="295"/>
      <c r="T174" s="301"/>
      <c r="U174" s="306"/>
      <c r="V174" s="308"/>
      <c r="W174" s="249"/>
      <c r="X174" s="344"/>
      <c r="Y174" s="337"/>
      <c r="Z174" s="33"/>
      <c r="AA174" s="83"/>
      <c r="AB174" s="33"/>
      <c r="AC174" s="83"/>
      <c r="AD174" s="33"/>
      <c r="AE174" s="83"/>
      <c r="AF174" s="33"/>
      <c r="AG174" s="244"/>
      <c r="AH174" s="83"/>
      <c r="AI174" s="246"/>
      <c r="AJ174" s="102"/>
      <c r="AK174" s="92"/>
      <c r="AL174" s="91"/>
      <c r="AM174" s="92"/>
      <c r="AN174" s="351"/>
      <c r="AO174" s="197">
        <f t="shared" si="11"/>
        <v>0</v>
      </c>
      <c r="AP174" s="91"/>
      <c r="AQ174" s="217"/>
      <c r="AR174" s="196"/>
      <c r="AS174" s="265"/>
      <c r="AT174" s="94"/>
      <c r="AU174" s="84"/>
      <c r="AV174" s="136"/>
      <c r="AW174" s="81"/>
      <c r="AX174" s="137"/>
      <c r="AY174" s="138"/>
      <c r="AZ174" s="220">
        <f t="shared" si="8"/>
        <v>0</v>
      </c>
      <c r="BA174" s="220">
        <f t="shared" si="9"/>
        <v>0</v>
      </c>
    </row>
    <row r="175" spans="1:53" ht="50.1" customHeight="1" x14ac:dyDescent="0.25">
      <c r="A175" s="17">
        <f t="shared" si="10"/>
        <v>161</v>
      </c>
      <c r="B175" s="228"/>
      <c r="C175" s="221"/>
      <c r="D175" s="88"/>
      <c r="E175" s="100"/>
      <c r="F175" s="95"/>
      <c r="G175" s="114"/>
      <c r="H175" s="96"/>
      <c r="I175" s="97"/>
      <c r="J175" s="98"/>
      <c r="K175" s="101"/>
      <c r="L175" s="124"/>
      <c r="M175" s="333"/>
      <c r="N175" s="341"/>
      <c r="O175" s="190"/>
      <c r="P175" s="191"/>
      <c r="Q175" s="190"/>
      <c r="R175" s="191"/>
      <c r="S175" s="294"/>
      <c r="T175" s="300"/>
      <c r="U175" s="306"/>
      <c r="V175" s="308"/>
      <c r="W175" s="248"/>
      <c r="X175" s="342"/>
      <c r="Y175" s="337"/>
      <c r="Z175" s="123"/>
      <c r="AA175" s="83"/>
      <c r="AB175" s="123"/>
      <c r="AC175" s="83"/>
      <c r="AD175" s="123"/>
      <c r="AE175" s="83"/>
      <c r="AF175" s="123"/>
      <c r="AG175" s="243"/>
      <c r="AH175" s="33"/>
      <c r="AI175" s="245"/>
      <c r="AJ175" s="125"/>
      <c r="AK175" s="92"/>
      <c r="AL175" s="126"/>
      <c r="AM175" s="91"/>
      <c r="AN175" s="91"/>
      <c r="AO175" s="197">
        <f t="shared" si="11"/>
        <v>0</v>
      </c>
      <c r="AP175" s="126"/>
      <c r="AQ175" s="217"/>
      <c r="AR175" s="201"/>
      <c r="AS175" s="266"/>
      <c r="AT175" s="94"/>
      <c r="AU175" s="84"/>
      <c r="AV175" s="80"/>
      <c r="AW175" s="81"/>
      <c r="AX175" s="77"/>
      <c r="AY175" s="107"/>
      <c r="AZ175" s="220">
        <f t="shared" si="8"/>
        <v>0</v>
      </c>
      <c r="BA175" s="220">
        <f t="shared" si="9"/>
        <v>0</v>
      </c>
    </row>
    <row r="176" spans="1:53" ht="50.1" customHeight="1" x14ac:dyDescent="0.25">
      <c r="A176" s="17">
        <f t="shared" si="10"/>
        <v>162</v>
      </c>
      <c r="B176" s="229"/>
      <c r="C176" s="222"/>
      <c r="D176" s="112"/>
      <c r="E176" s="128"/>
      <c r="F176" s="183"/>
      <c r="G176" s="130"/>
      <c r="H176" s="131"/>
      <c r="I176" s="132"/>
      <c r="J176" s="189"/>
      <c r="K176" s="133"/>
      <c r="L176" s="134"/>
      <c r="M176" s="334"/>
      <c r="N176" s="343"/>
      <c r="O176" s="192"/>
      <c r="P176" s="191"/>
      <c r="Q176" s="192"/>
      <c r="R176" s="191"/>
      <c r="S176" s="295"/>
      <c r="T176" s="301"/>
      <c r="U176" s="306"/>
      <c r="V176" s="308"/>
      <c r="W176" s="249"/>
      <c r="X176" s="344"/>
      <c r="Y176" s="337"/>
      <c r="Z176" s="33"/>
      <c r="AA176" s="83"/>
      <c r="AB176" s="33"/>
      <c r="AC176" s="83"/>
      <c r="AD176" s="33"/>
      <c r="AE176" s="83"/>
      <c r="AF176" s="33"/>
      <c r="AG176" s="244"/>
      <c r="AH176" s="83"/>
      <c r="AI176" s="246"/>
      <c r="AJ176" s="102"/>
      <c r="AK176" s="92"/>
      <c r="AL176" s="91"/>
      <c r="AM176" s="92"/>
      <c r="AN176" s="351"/>
      <c r="AO176" s="197">
        <f t="shared" si="11"/>
        <v>0</v>
      </c>
      <c r="AP176" s="91"/>
      <c r="AQ176" s="217"/>
      <c r="AR176" s="83"/>
      <c r="AS176" s="267"/>
      <c r="AT176" s="94"/>
      <c r="AU176" s="84"/>
      <c r="AV176" s="136"/>
      <c r="AW176" s="81"/>
      <c r="AX176" s="137"/>
      <c r="AY176" s="138"/>
      <c r="AZ176" s="220">
        <f t="shared" si="8"/>
        <v>0</v>
      </c>
      <c r="BA176" s="220">
        <f t="shared" si="9"/>
        <v>0</v>
      </c>
    </row>
    <row r="177" spans="1:53" ht="50.1" customHeight="1" x14ac:dyDescent="0.25">
      <c r="A177" s="17">
        <f t="shared" si="10"/>
        <v>163</v>
      </c>
      <c r="B177" s="228"/>
      <c r="C177" s="221"/>
      <c r="D177" s="88"/>
      <c r="E177" s="100"/>
      <c r="F177" s="95"/>
      <c r="G177" s="114"/>
      <c r="H177" s="96"/>
      <c r="I177" s="97"/>
      <c r="J177" s="98"/>
      <c r="K177" s="101"/>
      <c r="L177" s="124"/>
      <c r="M177" s="333"/>
      <c r="N177" s="341"/>
      <c r="O177" s="190"/>
      <c r="P177" s="191"/>
      <c r="Q177" s="190"/>
      <c r="R177" s="191"/>
      <c r="S177" s="294"/>
      <c r="T177" s="300"/>
      <c r="U177" s="306"/>
      <c r="V177" s="308"/>
      <c r="W177" s="248"/>
      <c r="X177" s="342"/>
      <c r="Y177" s="337"/>
      <c r="Z177" s="123"/>
      <c r="AA177" s="83"/>
      <c r="AB177" s="123"/>
      <c r="AC177" s="83"/>
      <c r="AD177" s="123"/>
      <c r="AE177" s="83"/>
      <c r="AF177" s="123"/>
      <c r="AG177" s="243"/>
      <c r="AH177" s="33"/>
      <c r="AI177" s="245"/>
      <c r="AJ177" s="125"/>
      <c r="AK177" s="92"/>
      <c r="AL177" s="126"/>
      <c r="AM177" s="91"/>
      <c r="AN177" s="91"/>
      <c r="AO177" s="197">
        <f t="shared" si="11"/>
        <v>0</v>
      </c>
      <c r="AP177" s="126"/>
      <c r="AQ177" s="217"/>
      <c r="AR177" s="123"/>
      <c r="AS177" s="268"/>
      <c r="AT177" s="94"/>
      <c r="AU177" s="84"/>
      <c r="AV177" s="80"/>
      <c r="AW177" s="81"/>
      <c r="AX177" s="77"/>
      <c r="AY177" s="107"/>
      <c r="AZ177" s="220">
        <f t="shared" si="8"/>
        <v>0</v>
      </c>
      <c r="BA177" s="220">
        <f t="shared" si="9"/>
        <v>0</v>
      </c>
    </row>
    <row r="178" spans="1:53" ht="50.1" customHeight="1" x14ac:dyDescent="0.25">
      <c r="A178" s="17">
        <f t="shared" si="10"/>
        <v>164</v>
      </c>
      <c r="B178" s="229"/>
      <c r="C178" s="222"/>
      <c r="D178" s="112"/>
      <c r="E178" s="128"/>
      <c r="F178" s="183"/>
      <c r="G178" s="130"/>
      <c r="H178" s="131"/>
      <c r="I178" s="132"/>
      <c r="J178" s="189"/>
      <c r="K178" s="133"/>
      <c r="L178" s="134"/>
      <c r="M178" s="334"/>
      <c r="N178" s="343"/>
      <c r="O178" s="192"/>
      <c r="P178" s="191"/>
      <c r="Q178" s="192"/>
      <c r="R178" s="191"/>
      <c r="S178" s="295"/>
      <c r="T178" s="301"/>
      <c r="U178" s="306"/>
      <c r="V178" s="308"/>
      <c r="W178" s="249"/>
      <c r="X178" s="345"/>
      <c r="Y178" s="337"/>
      <c r="Z178" s="33"/>
      <c r="AA178" s="83"/>
      <c r="AB178" s="33"/>
      <c r="AC178" s="83"/>
      <c r="AD178" s="33"/>
      <c r="AE178" s="83"/>
      <c r="AF178" s="33"/>
      <c r="AG178" s="244"/>
      <c r="AH178" s="83"/>
      <c r="AI178" s="246"/>
      <c r="AJ178" s="102"/>
      <c r="AK178" s="92"/>
      <c r="AL178" s="91"/>
      <c r="AM178" s="92"/>
      <c r="AN178" s="351"/>
      <c r="AO178" s="197">
        <f t="shared" si="11"/>
        <v>0</v>
      </c>
      <c r="AP178" s="91"/>
      <c r="AQ178" s="217"/>
      <c r="AR178" s="83"/>
      <c r="AS178" s="267"/>
      <c r="AT178" s="94"/>
      <c r="AU178" s="84"/>
      <c r="AV178" s="136"/>
      <c r="AW178" s="81"/>
      <c r="AX178" s="137"/>
      <c r="AY178" s="138"/>
      <c r="AZ178" s="220">
        <f t="shared" si="8"/>
        <v>0</v>
      </c>
      <c r="BA178" s="220">
        <f t="shared" si="9"/>
        <v>0</v>
      </c>
    </row>
    <row r="179" spans="1:53" ht="50.1" customHeight="1" x14ac:dyDescent="0.25">
      <c r="A179" s="17">
        <f t="shared" si="10"/>
        <v>165</v>
      </c>
      <c r="B179" s="228"/>
      <c r="C179" s="221"/>
      <c r="D179" s="88"/>
      <c r="E179" s="100"/>
      <c r="F179" s="95"/>
      <c r="G179" s="114"/>
      <c r="H179" s="96"/>
      <c r="I179" s="97"/>
      <c r="J179" s="98"/>
      <c r="K179" s="101"/>
      <c r="L179" s="124"/>
      <c r="M179" s="333"/>
      <c r="N179" s="341"/>
      <c r="O179" s="190"/>
      <c r="P179" s="191"/>
      <c r="Q179" s="190"/>
      <c r="R179" s="191"/>
      <c r="S179" s="294"/>
      <c r="T179" s="300"/>
      <c r="U179" s="306"/>
      <c r="V179" s="308"/>
      <c r="W179" s="248"/>
      <c r="X179" s="345"/>
      <c r="Y179" s="337"/>
      <c r="Z179" s="123"/>
      <c r="AA179" s="83"/>
      <c r="AB179" s="123"/>
      <c r="AC179" s="83"/>
      <c r="AD179" s="123"/>
      <c r="AE179" s="83"/>
      <c r="AF179" s="123"/>
      <c r="AG179" s="243"/>
      <c r="AH179" s="123"/>
      <c r="AI179" s="245"/>
      <c r="AJ179" s="125"/>
      <c r="AK179" s="92"/>
      <c r="AL179" s="126"/>
      <c r="AM179" s="91"/>
      <c r="AN179" s="91"/>
      <c r="AO179" s="197">
        <f t="shared" si="11"/>
        <v>0</v>
      </c>
      <c r="AP179" s="126"/>
      <c r="AQ179" s="217"/>
      <c r="AR179" s="201"/>
      <c r="AS179" s="266"/>
      <c r="AT179" s="94"/>
      <c r="AU179" s="84"/>
      <c r="AV179" s="80"/>
      <c r="AW179" s="81"/>
      <c r="AX179" s="77"/>
      <c r="AY179" s="107"/>
      <c r="AZ179" s="220">
        <f t="shared" si="8"/>
        <v>0</v>
      </c>
      <c r="BA179" s="220">
        <f t="shared" si="9"/>
        <v>0</v>
      </c>
    </row>
    <row r="180" spans="1:53" ht="50.1" customHeight="1" x14ac:dyDescent="0.25">
      <c r="A180" s="17">
        <f t="shared" si="10"/>
        <v>166</v>
      </c>
      <c r="B180" s="229"/>
      <c r="C180" s="222"/>
      <c r="D180" s="112"/>
      <c r="E180" s="128"/>
      <c r="F180" s="183"/>
      <c r="G180" s="130"/>
      <c r="H180" s="131"/>
      <c r="I180" s="132"/>
      <c r="J180" s="189"/>
      <c r="K180" s="133"/>
      <c r="L180" s="134"/>
      <c r="M180" s="334"/>
      <c r="N180" s="343"/>
      <c r="O180" s="193"/>
      <c r="P180" s="191"/>
      <c r="Q180" s="193"/>
      <c r="R180" s="191"/>
      <c r="S180" s="296"/>
      <c r="T180" s="302"/>
      <c r="U180" s="306"/>
      <c r="V180" s="308"/>
      <c r="W180" s="249"/>
      <c r="X180" s="345"/>
      <c r="Y180" s="337"/>
      <c r="Z180" s="33"/>
      <c r="AA180" s="83"/>
      <c r="AB180" s="33"/>
      <c r="AC180" s="83"/>
      <c r="AD180" s="33"/>
      <c r="AE180" s="83"/>
      <c r="AF180" s="33"/>
      <c r="AG180" s="244"/>
      <c r="AH180" s="83"/>
      <c r="AI180" s="246"/>
      <c r="AJ180" s="102"/>
      <c r="AK180" s="92"/>
      <c r="AL180" s="91"/>
      <c r="AM180" s="92"/>
      <c r="AN180" s="351"/>
      <c r="AO180" s="197">
        <f t="shared" si="11"/>
        <v>0</v>
      </c>
      <c r="AP180" s="91"/>
      <c r="AQ180" s="217"/>
      <c r="AR180" s="83"/>
      <c r="AS180" s="267"/>
      <c r="AT180" s="94"/>
      <c r="AU180" s="84"/>
      <c r="AV180" s="136"/>
      <c r="AW180" s="81"/>
      <c r="AX180" s="137"/>
      <c r="AY180" s="138"/>
      <c r="AZ180" s="220">
        <f t="shared" si="8"/>
        <v>0</v>
      </c>
      <c r="BA180" s="220">
        <f t="shared" si="9"/>
        <v>0</v>
      </c>
    </row>
    <row r="181" spans="1:53" ht="50.1" customHeight="1" x14ac:dyDescent="0.25">
      <c r="A181" s="17">
        <f t="shared" si="10"/>
        <v>167</v>
      </c>
      <c r="B181" s="228"/>
      <c r="C181" s="221"/>
      <c r="D181" s="88"/>
      <c r="E181" s="100"/>
      <c r="F181" s="95"/>
      <c r="G181" s="114"/>
      <c r="H181" s="96"/>
      <c r="I181" s="97"/>
      <c r="J181" s="98"/>
      <c r="K181" s="101"/>
      <c r="L181" s="124"/>
      <c r="M181" s="333"/>
      <c r="N181" s="341"/>
      <c r="O181" s="190"/>
      <c r="P181" s="191"/>
      <c r="Q181" s="190"/>
      <c r="R181" s="191"/>
      <c r="S181" s="294"/>
      <c r="T181" s="300"/>
      <c r="U181" s="306"/>
      <c r="V181" s="308"/>
      <c r="W181" s="248"/>
      <c r="X181" s="342"/>
      <c r="Y181" s="337"/>
      <c r="Z181" s="123"/>
      <c r="AA181" s="83"/>
      <c r="AB181" s="123"/>
      <c r="AC181" s="83"/>
      <c r="AD181" s="123"/>
      <c r="AE181" s="83"/>
      <c r="AF181" s="123"/>
      <c r="AG181" s="243"/>
      <c r="AH181" s="33"/>
      <c r="AI181" s="245"/>
      <c r="AJ181" s="125"/>
      <c r="AK181" s="92"/>
      <c r="AL181" s="126"/>
      <c r="AM181" s="91"/>
      <c r="AN181" s="91"/>
      <c r="AO181" s="197">
        <f t="shared" si="11"/>
        <v>0</v>
      </c>
      <c r="AP181" s="126"/>
      <c r="AQ181" s="217"/>
      <c r="AR181" s="123"/>
      <c r="AS181" s="268"/>
      <c r="AT181" s="94"/>
      <c r="AU181" s="84"/>
      <c r="AV181" s="80"/>
      <c r="AW181" s="81"/>
      <c r="AX181" s="77"/>
      <c r="AY181" s="107"/>
      <c r="AZ181" s="220">
        <f t="shared" si="8"/>
        <v>0</v>
      </c>
      <c r="BA181" s="220">
        <f t="shared" si="9"/>
        <v>0</v>
      </c>
    </row>
    <row r="182" spans="1:53" ht="50.1" customHeight="1" x14ac:dyDescent="0.25">
      <c r="A182" s="17">
        <f t="shared" si="10"/>
        <v>168</v>
      </c>
      <c r="B182" s="229"/>
      <c r="C182" s="222"/>
      <c r="D182" s="112"/>
      <c r="E182" s="128"/>
      <c r="F182" s="183"/>
      <c r="G182" s="130"/>
      <c r="H182" s="131"/>
      <c r="I182" s="132"/>
      <c r="J182" s="189"/>
      <c r="K182" s="133"/>
      <c r="L182" s="134"/>
      <c r="M182" s="334"/>
      <c r="N182" s="343"/>
      <c r="O182" s="192"/>
      <c r="P182" s="191"/>
      <c r="Q182" s="192"/>
      <c r="R182" s="191"/>
      <c r="S182" s="295"/>
      <c r="T182" s="301"/>
      <c r="U182" s="306"/>
      <c r="V182" s="308"/>
      <c r="W182" s="249"/>
      <c r="X182" s="344"/>
      <c r="Y182" s="337"/>
      <c r="Z182" s="33"/>
      <c r="AA182" s="83"/>
      <c r="AB182" s="33"/>
      <c r="AC182" s="83"/>
      <c r="AD182" s="33"/>
      <c r="AE182" s="83"/>
      <c r="AF182" s="33"/>
      <c r="AG182" s="244"/>
      <c r="AH182" s="83"/>
      <c r="AI182" s="246"/>
      <c r="AJ182" s="102"/>
      <c r="AK182" s="92"/>
      <c r="AL182" s="91"/>
      <c r="AM182" s="92"/>
      <c r="AN182" s="351"/>
      <c r="AO182" s="197">
        <f t="shared" si="11"/>
        <v>0</v>
      </c>
      <c r="AP182" s="91"/>
      <c r="AQ182" s="217"/>
      <c r="AR182" s="83"/>
      <c r="AS182" s="267"/>
      <c r="AT182" s="94"/>
      <c r="AU182" s="84"/>
      <c r="AV182" s="136"/>
      <c r="AW182" s="81"/>
      <c r="AX182" s="137"/>
      <c r="AY182" s="138"/>
      <c r="AZ182" s="220">
        <f t="shared" si="8"/>
        <v>0</v>
      </c>
      <c r="BA182" s="220">
        <f t="shared" si="9"/>
        <v>0</v>
      </c>
    </row>
    <row r="183" spans="1:53" ht="50.1" customHeight="1" x14ac:dyDescent="0.25">
      <c r="A183" s="17">
        <f t="shared" si="10"/>
        <v>169</v>
      </c>
      <c r="B183" s="228"/>
      <c r="C183" s="221"/>
      <c r="D183" s="88"/>
      <c r="E183" s="100"/>
      <c r="F183" s="95"/>
      <c r="G183" s="114"/>
      <c r="H183" s="96"/>
      <c r="I183" s="97"/>
      <c r="J183" s="98"/>
      <c r="K183" s="101"/>
      <c r="L183" s="124"/>
      <c r="M183" s="333"/>
      <c r="N183" s="341"/>
      <c r="O183" s="190"/>
      <c r="P183" s="191"/>
      <c r="Q183" s="190"/>
      <c r="R183" s="191"/>
      <c r="S183" s="294"/>
      <c r="T183" s="300"/>
      <c r="U183" s="306"/>
      <c r="V183" s="308"/>
      <c r="W183" s="248"/>
      <c r="X183" s="342"/>
      <c r="Y183" s="337"/>
      <c r="Z183" s="123"/>
      <c r="AA183" s="83"/>
      <c r="AB183" s="123"/>
      <c r="AC183" s="83"/>
      <c r="AD183" s="123"/>
      <c r="AE183" s="83"/>
      <c r="AF183" s="123"/>
      <c r="AG183" s="243"/>
      <c r="AH183" s="33"/>
      <c r="AI183" s="245"/>
      <c r="AJ183" s="125"/>
      <c r="AK183" s="92"/>
      <c r="AL183" s="126"/>
      <c r="AM183" s="91"/>
      <c r="AN183" s="91"/>
      <c r="AO183" s="197">
        <f t="shared" si="11"/>
        <v>0</v>
      </c>
      <c r="AP183" s="126"/>
      <c r="AQ183" s="217"/>
      <c r="AR183" s="201"/>
      <c r="AS183" s="266"/>
      <c r="AT183" s="94"/>
      <c r="AU183" s="84"/>
      <c r="AV183" s="80"/>
      <c r="AW183" s="81"/>
      <c r="AX183" s="77"/>
      <c r="AY183" s="107"/>
      <c r="AZ183" s="220">
        <f t="shared" si="8"/>
        <v>0</v>
      </c>
      <c r="BA183" s="220">
        <f t="shared" si="9"/>
        <v>0</v>
      </c>
    </row>
    <row r="184" spans="1:53" ht="50.1" customHeight="1" x14ac:dyDescent="0.25">
      <c r="A184" s="17">
        <f t="shared" si="10"/>
        <v>170</v>
      </c>
      <c r="B184" s="229"/>
      <c r="C184" s="222"/>
      <c r="D184" s="112"/>
      <c r="E184" s="128"/>
      <c r="F184" s="183"/>
      <c r="G184" s="130"/>
      <c r="H184" s="131"/>
      <c r="I184" s="132"/>
      <c r="J184" s="189"/>
      <c r="K184" s="133"/>
      <c r="L184" s="134"/>
      <c r="M184" s="334"/>
      <c r="N184" s="343"/>
      <c r="O184" s="192"/>
      <c r="P184" s="191"/>
      <c r="Q184" s="192"/>
      <c r="R184" s="191"/>
      <c r="S184" s="295"/>
      <c r="T184" s="301"/>
      <c r="U184" s="306"/>
      <c r="V184" s="308"/>
      <c r="W184" s="249"/>
      <c r="X184" s="344"/>
      <c r="Y184" s="337"/>
      <c r="Z184" s="33"/>
      <c r="AA184" s="83"/>
      <c r="AB184" s="33"/>
      <c r="AC184" s="83"/>
      <c r="AD184" s="33"/>
      <c r="AE184" s="83"/>
      <c r="AF184" s="33"/>
      <c r="AG184" s="244"/>
      <c r="AH184" s="83"/>
      <c r="AI184" s="246"/>
      <c r="AJ184" s="102"/>
      <c r="AK184" s="92"/>
      <c r="AL184" s="91"/>
      <c r="AM184" s="92"/>
      <c r="AN184" s="351"/>
      <c r="AO184" s="197">
        <f t="shared" si="11"/>
        <v>0</v>
      </c>
      <c r="AP184" s="91"/>
      <c r="AQ184" s="217"/>
      <c r="AR184" s="83"/>
      <c r="AS184" s="267"/>
      <c r="AT184" s="94"/>
      <c r="AU184" s="84"/>
      <c r="AV184" s="136"/>
      <c r="AW184" s="81"/>
      <c r="AX184" s="137"/>
      <c r="AY184" s="138"/>
      <c r="AZ184" s="220">
        <f t="shared" si="8"/>
        <v>0</v>
      </c>
      <c r="BA184" s="220">
        <f t="shared" si="9"/>
        <v>0</v>
      </c>
    </row>
    <row r="185" spans="1:53" ht="50.1" customHeight="1" x14ac:dyDescent="0.25">
      <c r="A185" s="17">
        <f t="shared" si="10"/>
        <v>171</v>
      </c>
      <c r="B185" s="228"/>
      <c r="C185" s="221"/>
      <c r="D185" s="88"/>
      <c r="E185" s="100"/>
      <c r="F185" s="95"/>
      <c r="G185" s="114"/>
      <c r="H185" s="96"/>
      <c r="I185" s="97"/>
      <c r="J185" s="98"/>
      <c r="K185" s="101"/>
      <c r="L185" s="124"/>
      <c r="M185" s="333"/>
      <c r="N185" s="341"/>
      <c r="O185" s="190"/>
      <c r="P185" s="191"/>
      <c r="Q185" s="190"/>
      <c r="R185" s="191"/>
      <c r="S185" s="294"/>
      <c r="T185" s="300"/>
      <c r="U185" s="306"/>
      <c r="V185" s="308"/>
      <c r="W185" s="248"/>
      <c r="X185" s="342"/>
      <c r="Y185" s="337"/>
      <c r="Z185" s="123"/>
      <c r="AA185" s="83"/>
      <c r="AB185" s="123"/>
      <c r="AC185" s="83"/>
      <c r="AD185" s="123"/>
      <c r="AE185" s="83"/>
      <c r="AF185" s="123"/>
      <c r="AG185" s="243"/>
      <c r="AH185" s="33"/>
      <c r="AI185" s="245"/>
      <c r="AJ185" s="125"/>
      <c r="AK185" s="92"/>
      <c r="AL185" s="126"/>
      <c r="AM185" s="91"/>
      <c r="AN185" s="91"/>
      <c r="AO185" s="197">
        <f t="shared" si="11"/>
        <v>0</v>
      </c>
      <c r="AP185" s="126"/>
      <c r="AQ185" s="217"/>
      <c r="AR185" s="201"/>
      <c r="AS185" s="266"/>
      <c r="AT185" s="94"/>
      <c r="AU185" s="84"/>
      <c r="AV185" s="80"/>
      <c r="AW185" s="81"/>
      <c r="AX185" s="77"/>
      <c r="AY185" s="107"/>
      <c r="AZ185" s="220">
        <f t="shared" si="8"/>
        <v>0</v>
      </c>
      <c r="BA185" s="220">
        <f t="shared" si="9"/>
        <v>0</v>
      </c>
    </row>
    <row r="186" spans="1:53" ht="50.1" customHeight="1" x14ac:dyDescent="0.25">
      <c r="A186" s="17">
        <f t="shared" si="10"/>
        <v>172</v>
      </c>
      <c r="B186" s="229"/>
      <c r="C186" s="222"/>
      <c r="D186" s="112"/>
      <c r="E186" s="128"/>
      <c r="F186" s="183"/>
      <c r="G186" s="130"/>
      <c r="H186" s="131"/>
      <c r="I186" s="132"/>
      <c r="J186" s="189"/>
      <c r="K186" s="133"/>
      <c r="L186" s="134"/>
      <c r="M186" s="334"/>
      <c r="N186" s="343"/>
      <c r="O186" s="192"/>
      <c r="P186" s="191"/>
      <c r="Q186" s="192"/>
      <c r="R186" s="191"/>
      <c r="S186" s="295"/>
      <c r="T186" s="301"/>
      <c r="U186" s="306"/>
      <c r="V186" s="308"/>
      <c r="W186" s="249"/>
      <c r="X186" s="344"/>
      <c r="Y186" s="337"/>
      <c r="Z186" s="33"/>
      <c r="AA186" s="83"/>
      <c r="AB186" s="33"/>
      <c r="AC186" s="83"/>
      <c r="AD186" s="33"/>
      <c r="AE186" s="83"/>
      <c r="AF186" s="33"/>
      <c r="AG186" s="244"/>
      <c r="AH186" s="83"/>
      <c r="AI186" s="246"/>
      <c r="AJ186" s="102"/>
      <c r="AK186" s="92"/>
      <c r="AL186" s="91"/>
      <c r="AM186" s="92"/>
      <c r="AN186" s="351"/>
      <c r="AO186" s="197">
        <f t="shared" si="11"/>
        <v>0</v>
      </c>
      <c r="AP186" s="91"/>
      <c r="AQ186" s="217"/>
      <c r="AR186" s="83"/>
      <c r="AS186" s="267"/>
      <c r="AT186" s="94"/>
      <c r="AU186" s="84"/>
      <c r="AV186" s="136"/>
      <c r="AW186" s="81"/>
      <c r="AX186" s="137"/>
      <c r="AY186" s="138"/>
      <c r="AZ186" s="220">
        <f t="shared" si="8"/>
        <v>0</v>
      </c>
      <c r="BA186" s="220">
        <f t="shared" si="9"/>
        <v>0</v>
      </c>
    </row>
    <row r="187" spans="1:53" ht="50.1" customHeight="1" x14ac:dyDescent="0.25">
      <c r="A187" s="17">
        <f t="shared" si="10"/>
        <v>173</v>
      </c>
      <c r="B187" s="228"/>
      <c r="C187" s="221"/>
      <c r="D187" s="88"/>
      <c r="E187" s="100"/>
      <c r="F187" s="95"/>
      <c r="G187" s="114"/>
      <c r="H187" s="96"/>
      <c r="I187" s="97"/>
      <c r="J187" s="98"/>
      <c r="K187" s="101"/>
      <c r="L187" s="124"/>
      <c r="M187" s="333"/>
      <c r="N187" s="341"/>
      <c r="O187" s="190"/>
      <c r="P187" s="191"/>
      <c r="Q187" s="190"/>
      <c r="R187" s="191"/>
      <c r="S187" s="294"/>
      <c r="T187" s="300"/>
      <c r="U187" s="306"/>
      <c r="V187" s="308"/>
      <c r="W187" s="248"/>
      <c r="X187" s="342"/>
      <c r="Y187" s="337"/>
      <c r="Z187" s="123"/>
      <c r="AA187" s="83"/>
      <c r="AB187" s="123"/>
      <c r="AC187" s="83"/>
      <c r="AD187" s="123"/>
      <c r="AE187" s="83"/>
      <c r="AF187" s="123"/>
      <c r="AG187" s="243"/>
      <c r="AH187" s="33"/>
      <c r="AI187" s="245"/>
      <c r="AJ187" s="125"/>
      <c r="AK187" s="92"/>
      <c r="AL187" s="126"/>
      <c r="AM187" s="91"/>
      <c r="AN187" s="91"/>
      <c r="AO187" s="197">
        <f t="shared" si="11"/>
        <v>0</v>
      </c>
      <c r="AP187" s="126"/>
      <c r="AQ187" s="217"/>
      <c r="AR187" s="201"/>
      <c r="AS187" s="266"/>
      <c r="AT187" s="94"/>
      <c r="AU187" s="84"/>
      <c r="AV187" s="80"/>
      <c r="AW187" s="81"/>
      <c r="AX187" s="77"/>
      <c r="AY187" s="107"/>
      <c r="AZ187" s="220">
        <f t="shared" si="8"/>
        <v>0</v>
      </c>
      <c r="BA187" s="220">
        <f t="shared" si="9"/>
        <v>0</v>
      </c>
    </row>
    <row r="188" spans="1:53" ht="50.1" customHeight="1" x14ac:dyDescent="0.25">
      <c r="A188" s="17">
        <f t="shared" si="10"/>
        <v>174</v>
      </c>
      <c r="B188" s="229"/>
      <c r="C188" s="222"/>
      <c r="D188" s="112"/>
      <c r="E188" s="128"/>
      <c r="F188" s="183"/>
      <c r="G188" s="130"/>
      <c r="H188" s="131"/>
      <c r="I188" s="132"/>
      <c r="J188" s="189"/>
      <c r="K188" s="133"/>
      <c r="L188" s="134"/>
      <c r="M188" s="334"/>
      <c r="N188" s="343"/>
      <c r="O188" s="192"/>
      <c r="P188" s="191"/>
      <c r="Q188" s="192"/>
      <c r="R188" s="191"/>
      <c r="S188" s="295"/>
      <c r="T188" s="301"/>
      <c r="U188" s="306"/>
      <c r="V188" s="308"/>
      <c r="W188" s="249"/>
      <c r="X188" s="344"/>
      <c r="Y188" s="337"/>
      <c r="Z188" s="33"/>
      <c r="AA188" s="83"/>
      <c r="AB188" s="33"/>
      <c r="AC188" s="83"/>
      <c r="AD188" s="33"/>
      <c r="AE188" s="83"/>
      <c r="AF188" s="33"/>
      <c r="AG188" s="244"/>
      <c r="AH188" s="83"/>
      <c r="AI188" s="246"/>
      <c r="AJ188" s="195"/>
      <c r="AK188" s="92"/>
      <c r="AL188" s="91"/>
      <c r="AM188" s="92"/>
      <c r="AN188" s="351"/>
      <c r="AO188" s="197">
        <f t="shared" si="11"/>
        <v>0</v>
      </c>
      <c r="AP188" s="91"/>
      <c r="AQ188" s="217"/>
      <c r="AR188" s="83"/>
      <c r="AS188" s="267"/>
      <c r="AT188" s="94"/>
      <c r="AU188" s="84"/>
      <c r="AV188" s="136"/>
      <c r="AW188" s="81"/>
      <c r="AX188" s="137"/>
      <c r="AY188" s="138"/>
      <c r="AZ188" s="220">
        <f t="shared" si="8"/>
        <v>0</v>
      </c>
      <c r="BA188" s="220">
        <f t="shared" si="9"/>
        <v>0</v>
      </c>
    </row>
    <row r="189" spans="1:53" ht="50.1" customHeight="1" x14ac:dyDescent="0.25">
      <c r="A189" s="17">
        <f t="shared" si="10"/>
        <v>175</v>
      </c>
      <c r="B189" s="228"/>
      <c r="C189" s="221"/>
      <c r="D189" s="88"/>
      <c r="E189" s="100"/>
      <c r="F189" s="95"/>
      <c r="G189" s="114"/>
      <c r="H189" s="96"/>
      <c r="I189" s="97"/>
      <c r="J189" s="98"/>
      <c r="K189" s="101"/>
      <c r="L189" s="124"/>
      <c r="M189" s="333"/>
      <c r="N189" s="341"/>
      <c r="O189" s="190"/>
      <c r="P189" s="191"/>
      <c r="Q189" s="190"/>
      <c r="R189" s="191"/>
      <c r="S189" s="294"/>
      <c r="T189" s="300"/>
      <c r="U189" s="306"/>
      <c r="V189" s="308"/>
      <c r="W189" s="248"/>
      <c r="X189" s="345"/>
      <c r="Y189" s="337"/>
      <c r="Z189" s="123"/>
      <c r="AA189" s="83"/>
      <c r="AB189" s="123"/>
      <c r="AC189" s="83"/>
      <c r="AD189" s="123"/>
      <c r="AE189" s="83"/>
      <c r="AF189" s="123"/>
      <c r="AG189" s="243"/>
      <c r="AH189" s="123"/>
      <c r="AI189" s="245"/>
      <c r="AJ189" s="125"/>
      <c r="AK189" s="92"/>
      <c r="AL189" s="126"/>
      <c r="AM189" s="91"/>
      <c r="AN189" s="91"/>
      <c r="AO189" s="197">
        <f t="shared" si="11"/>
        <v>0</v>
      </c>
      <c r="AP189" s="126"/>
      <c r="AQ189" s="217"/>
      <c r="AR189" s="201"/>
      <c r="AS189" s="266"/>
      <c r="AT189" s="94"/>
      <c r="AU189" s="84"/>
      <c r="AV189" s="80"/>
      <c r="AW189" s="81"/>
      <c r="AX189" s="77"/>
      <c r="AY189" s="107"/>
      <c r="AZ189" s="220">
        <f t="shared" si="8"/>
        <v>0</v>
      </c>
      <c r="BA189" s="220">
        <f t="shared" si="9"/>
        <v>0</v>
      </c>
    </row>
    <row r="190" spans="1:53" ht="50.1" customHeight="1" x14ac:dyDescent="0.25">
      <c r="A190" s="17">
        <f t="shared" si="10"/>
        <v>176</v>
      </c>
      <c r="B190" s="229"/>
      <c r="C190" s="222"/>
      <c r="D190" s="112"/>
      <c r="E190" s="128"/>
      <c r="F190" s="183"/>
      <c r="G190" s="130"/>
      <c r="H190" s="131"/>
      <c r="I190" s="132"/>
      <c r="J190" s="189"/>
      <c r="K190" s="133"/>
      <c r="L190" s="134"/>
      <c r="M190" s="334"/>
      <c r="N190" s="343"/>
      <c r="O190" s="192"/>
      <c r="P190" s="191"/>
      <c r="Q190" s="192"/>
      <c r="R190" s="191"/>
      <c r="S190" s="295"/>
      <c r="T190" s="301"/>
      <c r="U190" s="306"/>
      <c r="V190" s="308"/>
      <c r="W190" s="249"/>
      <c r="X190" s="344"/>
      <c r="Y190" s="337"/>
      <c r="Z190" s="33"/>
      <c r="AA190" s="83"/>
      <c r="AB190" s="33"/>
      <c r="AC190" s="83"/>
      <c r="AD190" s="33"/>
      <c r="AE190" s="83"/>
      <c r="AF190" s="33"/>
      <c r="AG190" s="244"/>
      <c r="AH190" s="83"/>
      <c r="AI190" s="246"/>
      <c r="AJ190" s="102"/>
      <c r="AK190" s="92"/>
      <c r="AL190" s="91"/>
      <c r="AM190" s="92"/>
      <c r="AN190" s="351"/>
      <c r="AO190" s="197">
        <f t="shared" si="11"/>
        <v>0</v>
      </c>
      <c r="AP190" s="91"/>
      <c r="AQ190" s="217"/>
      <c r="AR190" s="83"/>
      <c r="AS190" s="267"/>
      <c r="AT190" s="94"/>
      <c r="AU190" s="84"/>
      <c r="AV190" s="136"/>
      <c r="AW190" s="81"/>
      <c r="AX190" s="137"/>
      <c r="AY190" s="138"/>
      <c r="AZ190" s="220">
        <f t="shared" si="8"/>
        <v>0</v>
      </c>
      <c r="BA190" s="220">
        <f t="shared" si="9"/>
        <v>0</v>
      </c>
    </row>
    <row r="191" spans="1:53" ht="50.1" customHeight="1" x14ac:dyDescent="0.25">
      <c r="A191" s="17">
        <f t="shared" si="10"/>
        <v>177</v>
      </c>
      <c r="B191" s="228"/>
      <c r="C191" s="221"/>
      <c r="D191" s="88"/>
      <c r="E191" s="100"/>
      <c r="F191" s="95"/>
      <c r="G191" s="114"/>
      <c r="H191" s="96"/>
      <c r="I191" s="97"/>
      <c r="J191" s="98"/>
      <c r="K191" s="101"/>
      <c r="L191" s="124"/>
      <c r="M191" s="333"/>
      <c r="N191" s="341"/>
      <c r="O191" s="190"/>
      <c r="P191" s="191"/>
      <c r="Q191" s="190"/>
      <c r="R191" s="191"/>
      <c r="S191" s="294"/>
      <c r="T191" s="300"/>
      <c r="U191" s="306"/>
      <c r="V191" s="308"/>
      <c r="W191" s="248"/>
      <c r="X191" s="342"/>
      <c r="Y191" s="337"/>
      <c r="Z191" s="123"/>
      <c r="AA191" s="83"/>
      <c r="AB191" s="123"/>
      <c r="AC191" s="83"/>
      <c r="AD191" s="123"/>
      <c r="AE191" s="83"/>
      <c r="AF191" s="123"/>
      <c r="AG191" s="243"/>
      <c r="AH191" s="33"/>
      <c r="AI191" s="245"/>
      <c r="AJ191" s="125"/>
      <c r="AK191" s="92"/>
      <c r="AL191" s="126"/>
      <c r="AM191" s="91"/>
      <c r="AN191" s="91"/>
      <c r="AO191" s="197">
        <f t="shared" si="11"/>
        <v>0</v>
      </c>
      <c r="AP191" s="126"/>
      <c r="AQ191" s="217"/>
      <c r="AR191" s="123"/>
      <c r="AS191" s="268"/>
      <c r="AT191" s="94"/>
      <c r="AU191" s="84"/>
      <c r="AV191" s="80"/>
      <c r="AW191" s="81"/>
      <c r="AX191" s="77"/>
      <c r="AY191" s="107"/>
      <c r="AZ191" s="220">
        <f t="shared" si="8"/>
        <v>0</v>
      </c>
      <c r="BA191" s="220">
        <f t="shared" si="9"/>
        <v>0</v>
      </c>
    </row>
    <row r="192" spans="1:53" ht="50.1" customHeight="1" x14ac:dyDescent="0.25">
      <c r="A192" s="17">
        <f t="shared" si="10"/>
        <v>178</v>
      </c>
      <c r="B192" s="229"/>
      <c r="C192" s="222"/>
      <c r="D192" s="112"/>
      <c r="E192" s="128"/>
      <c r="F192" s="183"/>
      <c r="G192" s="130"/>
      <c r="H192" s="131"/>
      <c r="I192" s="132"/>
      <c r="J192" s="189"/>
      <c r="K192" s="133"/>
      <c r="L192" s="134"/>
      <c r="M192" s="334"/>
      <c r="N192" s="343"/>
      <c r="O192" s="193"/>
      <c r="P192" s="191"/>
      <c r="Q192" s="193"/>
      <c r="R192" s="191"/>
      <c r="S192" s="296"/>
      <c r="T192" s="302"/>
      <c r="U192" s="306"/>
      <c r="V192" s="308"/>
      <c r="W192" s="249"/>
      <c r="X192" s="344"/>
      <c r="Y192" s="337"/>
      <c r="Z192" s="33"/>
      <c r="AA192" s="83"/>
      <c r="AB192" s="33"/>
      <c r="AC192" s="83"/>
      <c r="AD192" s="33"/>
      <c r="AE192" s="83"/>
      <c r="AF192" s="33"/>
      <c r="AG192" s="244"/>
      <c r="AH192" s="83"/>
      <c r="AI192" s="246"/>
      <c r="AJ192" s="102"/>
      <c r="AK192" s="92"/>
      <c r="AL192" s="91"/>
      <c r="AM192" s="92"/>
      <c r="AN192" s="351"/>
      <c r="AO192" s="197">
        <f t="shared" si="11"/>
        <v>0</v>
      </c>
      <c r="AP192" s="91"/>
      <c r="AQ192" s="217"/>
      <c r="AR192" s="83"/>
      <c r="AS192" s="267"/>
      <c r="AT192" s="94"/>
      <c r="AU192" s="84"/>
      <c r="AV192" s="136"/>
      <c r="AW192" s="81"/>
      <c r="AX192" s="137"/>
      <c r="AY192" s="138"/>
      <c r="AZ192" s="220">
        <f t="shared" si="8"/>
        <v>0</v>
      </c>
      <c r="BA192" s="220">
        <f t="shared" si="9"/>
        <v>0</v>
      </c>
    </row>
    <row r="193" spans="1:53" ht="50.1" customHeight="1" x14ac:dyDescent="0.25">
      <c r="A193" s="17">
        <f t="shared" si="10"/>
        <v>179</v>
      </c>
      <c r="B193" s="228"/>
      <c r="C193" s="221"/>
      <c r="D193" s="88"/>
      <c r="E193" s="100"/>
      <c r="F193" s="95"/>
      <c r="G193" s="114"/>
      <c r="H193" s="96"/>
      <c r="I193" s="97"/>
      <c r="J193" s="98"/>
      <c r="K193" s="101"/>
      <c r="L193" s="124"/>
      <c r="M193" s="333"/>
      <c r="N193" s="341"/>
      <c r="O193" s="190"/>
      <c r="P193" s="191"/>
      <c r="Q193" s="190"/>
      <c r="R193" s="191"/>
      <c r="S193" s="294"/>
      <c r="T193" s="300"/>
      <c r="U193" s="306"/>
      <c r="V193" s="308"/>
      <c r="W193" s="248"/>
      <c r="X193" s="342"/>
      <c r="Y193" s="337"/>
      <c r="Z193" s="123"/>
      <c r="AA193" s="83"/>
      <c r="AB193" s="123"/>
      <c r="AC193" s="83"/>
      <c r="AD193" s="123"/>
      <c r="AE193" s="83"/>
      <c r="AF193" s="123"/>
      <c r="AG193" s="243"/>
      <c r="AH193" s="33"/>
      <c r="AI193" s="245"/>
      <c r="AJ193" s="125"/>
      <c r="AK193" s="92"/>
      <c r="AL193" s="126"/>
      <c r="AM193" s="91"/>
      <c r="AN193" s="91"/>
      <c r="AO193" s="197">
        <f t="shared" si="11"/>
        <v>0</v>
      </c>
      <c r="AP193" s="126"/>
      <c r="AQ193" s="217"/>
      <c r="AR193" s="123"/>
      <c r="AS193" s="268"/>
      <c r="AT193" s="94"/>
      <c r="AU193" s="84"/>
      <c r="AV193" s="80"/>
      <c r="AW193" s="81"/>
      <c r="AX193" s="77"/>
      <c r="AY193" s="107"/>
      <c r="AZ193" s="220">
        <f t="shared" si="8"/>
        <v>0</v>
      </c>
      <c r="BA193" s="220">
        <f t="shared" si="9"/>
        <v>0</v>
      </c>
    </row>
    <row r="194" spans="1:53" ht="50.1" customHeight="1" x14ac:dyDescent="0.25">
      <c r="A194" s="17">
        <f t="shared" si="10"/>
        <v>180</v>
      </c>
      <c r="B194" s="229"/>
      <c r="C194" s="222"/>
      <c r="D194" s="112"/>
      <c r="E194" s="128"/>
      <c r="F194" s="183"/>
      <c r="G194" s="130"/>
      <c r="H194" s="131"/>
      <c r="I194" s="132"/>
      <c r="J194" s="189"/>
      <c r="K194" s="133"/>
      <c r="L194" s="134"/>
      <c r="M194" s="334"/>
      <c r="N194" s="343"/>
      <c r="O194" s="192"/>
      <c r="P194" s="191"/>
      <c r="Q194" s="192"/>
      <c r="R194" s="191"/>
      <c r="S194" s="295"/>
      <c r="T194" s="301"/>
      <c r="U194" s="306"/>
      <c r="V194" s="308"/>
      <c r="W194" s="249"/>
      <c r="X194" s="344"/>
      <c r="Y194" s="337"/>
      <c r="Z194" s="33"/>
      <c r="AA194" s="83"/>
      <c r="AB194" s="33"/>
      <c r="AC194" s="83"/>
      <c r="AD194" s="33"/>
      <c r="AE194" s="83"/>
      <c r="AF194" s="33"/>
      <c r="AG194" s="244"/>
      <c r="AH194" s="83"/>
      <c r="AI194" s="246"/>
      <c r="AJ194" s="102"/>
      <c r="AK194" s="92"/>
      <c r="AL194" s="91"/>
      <c r="AM194" s="92"/>
      <c r="AN194" s="351"/>
      <c r="AO194" s="197">
        <f t="shared" si="11"/>
        <v>0</v>
      </c>
      <c r="AP194" s="91"/>
      <c r="AQ194" s="217"/>
      <c r="AR194" s="83"/>
      <c r="AS194" s="267"/>
      <c r="AT194" s="94"/>
      <c r="AU194" s="84"/>
      <c r="AV194" s="136"/>
      <c r="AW194" s="81"/>
      <c r="AX194" s="137"/>
      <c r="AY194" s="138"/>
      <c r="AZ194" s="220">
        <f t="shared" si="8"/>
        <v>0</v>
      </c>
      <c r="BA194" s="220">
        <f t="shared" si="9"/>
        <v>0</v>
      </c>
    </row>
    <row r="195" spans="1:53" ht="50.1" customHeight="1" x14ac:dyDescent="0.25">
      <c r="A195" s="17">
        <f t="shared" si="10"/>
        <v>181</v>
      </c>
      <c r="B195" s="228"/>
      <c r="C195" s="221"/>
      <c r="D195" s="88"/>
      <c r="E195" s="100"/>
      <c r="F195" s="95"/>
      <c r="G195" s="114"/>
      <c r="H195" s="96"/>
      <c r="I195" s="97"/>
      <c r="J195" s="98"/>
      <c r="K195" s="101"/>
      <c r="L195" s="124"/>
      <c r="M195" s="333"/>
      <c r="N195" s="341"/>
      <c r="O195" s="190"/>
      <c r="P195" s="191"/>
      <c r="Q195" s="190"/>
      <c r="R195" s="191"/>
      <c r="S195" s="294"/>
      <c r="T195" s="300"/>
      <c r="U195" s="306"/>
      <c r="V195" s="308"/>
      <c r="W195" s="248"/>
      <c r="X195" s="342"/>
      <c r="Y195" s="337"/>
      <c r="Z195" s="123"/>
      <c r="AA195" s="83"/>
      <c r="AB195" s="123"/>
      <c r="AC195" s="83"/>
      <c r="AD195" s="123"/>
      <c r="AE195" s="83"/>
      <c r="AF195" s="123"/>
      <c r="AG195" s="243"/>
      <c r="AH195" s="33"/>
      <c r="AI195" s="245"/>
      <c r="AJ195" s="125"/>
      <c r="AK195" s="92"/>
      <c r="AL195" s="126"/>
      <c r="AM195" s="91"/>
      <c r="AN195" s="91"/>
      <c r="AO195" s="197">
        <f t="shared" si="11"/>
        <v>0</v>
      </c>
      <c r="AP195" s="126"/>
      <c r="AQ195" s="217"/>
      <c r="AR195" s="201"/>
      <c r="AS195" s="266"/>
      <c r="AT195" s="94"/>
      <c r="AU195" s="84"/>
      <c r="AV195" s="80"/>
      <c r="AW195" s="81"/>
      <c r="AX195" s="77"/>
      <c r="AY195" s="107"/>
      <c r="AZ195" s="220">
        <f t="shared" si="8"/>
        <v>0</v>
      </c>
      <c r="BA195" s="220">
        <f t="shared" si="9"/>
        <v>0</v>
      </c>
    </row>
    <row r="196" spans="1:53" ht="50.1" customHeight="1" x14ac:dyDescent="0.25">
      <c r="A196" s="17">
        <f t="shared" si="10"/>
        <v>182</v>
      </c>
      <c r="B196" s="229"/>
      <c r="C196" s="222"/>
      <c r="D196" s="112"/>
      <c r="E196" s="128"/>
      <c r="F196" s="183"/>
      <c r="G196" s="130"/>
      <c r="H196" s="131"/>
      <c r="I196" s="132"/>
      <c r="J196" s="189"/>
      <c r="K196" s="133"/>
      <c r="L196" s="134"/>
      <c r="M196" s="334"/>
      <c r="N196" s="343"/>
      <c r="O196" s="192"/>
      <c r="P196" s="191"/>
      <c r="Q196" s="192"/>
      <c r="R196" s="191"/>
      <c r="S196" s="295"/>
      <c r="T196" s="301"/>
      <c r="U196" s="306"/>
      <c r="V196" s="308"/>
      <c r="W196" s="249"/>
      <c r="X196" s="344"/>
      <c r="Y196" s="337"/>
      <c r="Z196" s="33"/>
      <c r="AA196" s="83"/>
      <c r="AB196" s="33"/>
      <c r="AC196" s="83"/>
      <c r="AD196" s="33"/>
      <c r="AE196" s="83"/>
      <c r="AF196" s="33"/>
      <c r="AG196" s="244"/>
      <c r="AH196" s="83"/>
      <c r="AI196" s="246"/>
      <c r="AJ196" s="102"/>
      <c r="AK196" s="92"/>
      <c r="AL196" s="91"/>
      <c r="AM196" s="92"/>
      <c r="AN196" s="351"/>
      <c r="AO196" s="197">
        <f t="shared" si="11"/>
        <v>0</v>
      </c>
      <c r="AP196" s="91"/>
      <c r="AQ196" s="217"/>
      <c r="AR196" s="103"/>
      <c r="AS196" s="264"/>
      <c r="AT196" s="94"/>
      <c r="AU196" s="84"/>
      <c r="AV196" s="136"/>
      <c r="AW196" s="81"/>
      <c r="AX196" s="137"/>
      <c r="AY196" s="138"/>
      <c r="AZ196" s="220">
        <f t="shared" si="8"/>
        <v>0</v>
      </c>
      <c r="BA196" s="220">
        <f t="shared" si="9"/>
        <v>0</v>
      </c>
    </row>
    <row r="197" spans="1:53" ht="50.1" customHeight="1" x14ac:dyDescent="0.25">
      <c r="A197" s="17">
        <f t="shared" si="10"/>
        <v>183</v>
      </c>
      <c r="B197" s="228"/>
      <c r="C197" s="221"/>
      <c r="D197" s="88"/>
      <c r="E197" s="100"/>
      <c r="F197" s="95"/>
      <c r="G197" s="114"/>
      <c r="H197" s="96"/>
      <c r="I197" s="97"/>
      <c r="J197" s="98"/>
      <c r="K197" s="101"/>
      <c r="L197" s="124"/>
      <c r="M197" s="333"/>
      <c r="N197" s="341"/>
      <c r="O197" s="190"/>
      <c r="P197" s="191"/>
      <c r="Q197" s="190"/>
      <c r="R197" s="191"/>
      <c r="S197" s="294"/>
      <c r="T197" s="300"/>
      <c r="U197" s="306"/>
      <c r="V197" s="308"/>
      <c r="W197" s="248"/>
      <c r="X197" s="342"/>
      <c r="Y197" s="337"/>
      <c r="Z197" s="123"/>
      <c r="AA197" s="83"/>
      <c r="AB197" s="123"/>
      <c r="AC197" s="83"/>
      <c r="AD197" s="123"/>
      <c r="AE197" s="83"/>
      <c r="AF197" s="123"/>
      <c r="AG197" s="243"/>
      <c r="AH197" s="33"/>
      <c r="AI197" s="245"/>
      <c r="AJ197" s="125"/>
      <c r="AK197" s="92"/>
      <c r="AL197" s="126"/>
      <c r="AM197" s="91"/>
      <c r="AN197" s="91"/>
      <c r="AO197" s="197">
        <f t="shared" si="11"/>
        <v>0</v>
      </c>
      <c r="AP197" s="126"/>
      <c r="AQ197" s="217"/>
      <c r="AR197" s="201"/>
      <c r="AS197" s="266"/>
      <c r="AT197" s="94"/>
      <c r="AU197" s="84"/>
      <c r="AV197" s="80"/>
      <c r="AW197" s="81"/>
      <c r="AX197" s="77"/>
      <c r="AY197" s="107"/>
      <c r="AZ197" s="220">
        <f t="shared" si="8"/>
        <v>0</v>
      </c>
      <c r="BA197" s="220">
        <f t="shared" si="9"/>
        <v>0</v>
      </c>
    </row>
    <row r="198" spans="1:53" ht="50.1" customHeight="1" x14ac:dyDescent="0.25">
      <c r="A198" s="17">
        <f t="shared" si="10"/>
        <v>184</v>
      </c>
      <c r="B198" s="229"/>
      <c r="C198" s="222"/>
      <c r="D198" s="112"/>
      <c r="E198" s="128"/>
      <c r="F198" s="183"/>
      <c r="G198" s="130"/>
      <c r="H198" s="131"/>
      <c r="I198" s="132"/>
      <c r="J198" s="189"/>
      <c r="K198" s="133"/>
      <c r="L198" s="134"/>
      <c r="M198" s="334"/>
      <c r="N198" s="343"/>
      <c r="O198" s="192"/>
      <c r="P198" s="191"/>
      <c r="Q198" s="192"/>
      <c r="R198" s="191"/>
      <c r="S198" s="295"/>
      <c r="T198" s="301"/>
      <c r="U198" s="306"/>
      <c r="V198" s="308"/>
      <c r="W198" s="249"/>
      <c r="X198" s="344"/>
      <c r="Y198" s="337"/>
      <c r="Z198" s="33"/>
      <c r="AA198" s="83"/>
      <c r="AB198" s="33"/>
      <c r="AC198" s="83"/>
      <c r="AD198" s="33"/>
      <c r="AE198" s="83"/>
      <c r="AF198" s="33"/>
      <c r="AG198" s="244"/>
      <c r="AH198" s="83"/>
      <c r="AI198" s="246"/>
      <c r="AJ198" s="102"/>
      <c r="AK198" s="92"/>
      <c r="AL198" s="91"/>
      <c r="AM198" s="92"/>
      <c r="AN198" s="351"/>
      <c r="AO198" s="197">
        <f t="shared" si="11"/>
        <v>0</v>
      </c>
      <c r="AP198" s="91"/>
      <c r="AQ198" s="217"/>
      <c r="AR198" s="103"/>
      <c r="AS198" s="264"/>
      <c r="AT198" s="94"/>
      <c r="AU198" s="84"/>
      <c r="AV198" s="136"/>
      <c r="AW198" s="81"/>
      <c r="AX198" s="137"/>
      <c r="AY198" s="138"/>
      <c r="AZ198" s="220">
        <f t="shared" si="8"/>
        <v>0</v>
      </c>
      <c r="BA198" s="220">
        <f t="shared" si="9"/>
        <v>0</v>
      </c>
    </row>
    <row r="199" spans="1:53" ht="50.1" customHeight="1" x14ac:dyDescent="0.25">
      <c r="A199" s="17">
        <f t="shared" si="10"/>
        <v>185</v>
      </c>
      <c r="B199" s="228"/>
      <c r="C199" s="221"/>
      <c r="D199" s="88"/>
      <c r="E199" s="100"/>
      <c r="F199" s="95"/>
      <c r="G199" s="114"/>
      <c r="H199" s="96"/>
      <c r="I199" s="97"/>
      <c r="J199" s="98"/>
      <c r="K199" s="101"/>
      <c r="L199" s="124"/>
      <c r="M199" s="333"/>
      <c r="N199" s="341"/>
      <c r="O199" s="190"/>
      <c r="P199" s="191"/>
      <c r="Q199" s="190"/>
      <c r="R199" s="191"/>
      <c r="S199" s="294"/>
      <c r="T199" s="300"/>
      <c r="U199" s="306"/>
      <c r="V199" s="308"/>
      <c r="W199" s="248"/>
      <c r="X199" s="342"/>
      <c r="Y199" s="337"/>
      <c r="Z199" s="123"/>
      <c r="AA199" s="83"/>
      <c r="AB199" s="123"/>
      <c r="AC199" s="83"/>
      <c r="AD199" s="123"/>
      <c r="AE199" s="83"/>
      <c r="AF199" s="123"/>
      <c r="AG199" s="243"/>
      <c r="AH199" s="33"/>
      <c r="AI199" s="245"/>
      <c r="AJ199" s="125"/>
      <c r="AK199" s="92"/>
      <c r="AL199" s="126"/>
      <c r="AM199" s="91"/>
      <c r="AN199" s="91"/>
      <c r="AO199" s="197">
        <f t="shared" si="11"/>
        <v>0</v>
      </c>
      <c r="AP199" s="126"/>
      <c r="AQ199" s="217"/>
      <c r="AR199" s="200"/>
      <c r="AS199" s="263"/>
      <c r="AT199" s="94"/>
      <c r="AU199" s="84"/>
      <c r="AV199" s="80"/>
      <c r="AW199" s="81"/>
      <c r="AX199" s="77"/>
      <c r="AY199" s="107"/>
      <c r="AZ199" s="220">
        <f t="shared" si="8"/>
        <v>0</v>
      </c>
      <c r="BA199" s="220">
        <f t="shared" si="9"/>
        <v>0</v>
      </c>
    </row>
    <row r="200" spans="1:53" ht="50.1" customHeight="1" x14ac:dyDescent="0.25">
      <c r="A200" s="17">
        <f t="shared" si="10"/>
        <v>186</v>
      </c>
      <c r="B200" s="229"/>
      <c r="C200" s="222"/>
      <c r="D200" s="112"/>
      <c r="E200" s="128"/>
      <c r="F200" s="183"/>
      <c r="G200" s="130"/>
      <c r="H200" s="131"/>
      <c r="I200" s="132"/>
      <c r="J200" s="189"/>
      <c r="K200" s="133"/>
      <c r="L200" s="134"/>
      <c r="M200" s="334"/>
      <c r="N200" s="343"/>
      <c r="O200" s="192"/>
      <c r="P200" s="191"/>
      <c r="Q200" s="192"/>
      <c r="R200" s="191"/>
      <c r="S200" s="295"/>
      <c r="T200" s="301"/>
      <c r="U200" s="306"/>
      <c r="V200" s="308"/>
      <c r="W200" s="249"/>
      <c r="X200" s="344"/>
      <c r="Y200" s="337"/>
      <c r="Z200" s="33"/>
      <c r="AA200" s="83"/>
      <c r="AB200" s="33"/>
      <c r="AC200" s="83"/>
      <c r="AD200" s="33"/>
      <c r="AE200" s="83"/>
      <c r="AF200" s="33"/>
      <c r="AG200" s="244"/>
      <c r="AH200" s="83"/>
      <c r="AI200" s="246"/>
      <c r="AJ200" s="102"/>
      <c r="AK200" s="92"/>
      <c r="AL200" s="91"/>
      <c r="AM200" s="92"/>
      <c r="AN200" s="351"/>
      <c r="AO200" s="197">
        <f t="shared" si="11"/>
        <v>0</v>
      </c>
      <c r="AP200" s="91"/>
      <c r="AQ200" s="217"/>
      <c r="AR200" s="103"/>
      <c r="AS200" s="264"/>
      <c r="AT200" s="94"/>
      <c r="AU200" s="84"/>
      <c r="AV200" s="136"/>
      <c r="AW200" s="81"/>
      <c r="AX200" s="137"/>
      <c r="AY200" s="138"/>
      <c r="AZ200" s="220">
        <f t="shared" si="8"/>
        <v>0</v>
      </c>
      <c r="BA200" s="220">
        <f t="shared" si="9"/>
        <v>0</v>
      </c>
    </row>
    <row r="201" spans="1:53" ht="50.1" customHeight="1" x14ac:dyDescent="0.25">
      <c r="A201" s="17">
        <f t="shared" si="10"/>
        <v>187</v>
      </c>
      <c r="B201" s="228"/>
      <c r="C201" s="221"/>
      <c r="D201" s="88"/>
      <c r="E201" s="100"/>
      <c r="F201" s="95"/>
      <c r="G201" s="114"/>
      <c r="H201" s="96"/>
      <c r="I201" s="97"/>
      <c r="J201" s="98"/>
      <c r="K201" s="101"/>
      <c r="L201" s="124"/>
      <c r="M201" s="333"/>
      <c r="N201" s="341"/>
      <c r="O201" s="190"/>
      <c r="P201" s="191"/>
      <c r="Q201" s="190"/>
      <c r="R201" s="191"/>
      <c r="S201" s="294"/>
      <c r="T201" s="300"/>
      <c r="U201" s="306"/>
      <c r="V201" s="308"/>
      <c r="W201" s="248"/>
      <c r="X201" s="342"/>
      <c r="Y201" s="337"/>
      <c r="Z201" s="123"/>
      <c r="AA201" s="83"/>
      <c r="AB201" s="123"/>
      <c r="AC201" s="83"/>
      <c r="AD201" s="123"/>
      <c r="AE201" s="83"/>
      <c r="AF201" s="123"/>
      <c r="AG201" s="243"/>
      <c r="AH201" s="33"/>
      <c r="AI201" s="245"/>
      <c r="AJ201" s="125"/>
      <c r="AK201" s="92"/>
      <c r="AL201" s="126"/>
      <c r="AM201" s="91"/>
      <c r="AN201" s="91"/>
      <c r="AO201" s="197">
        <f t="shared" si="11"/>
        <v>0</v>
      </c>
      <c r="AP201" s="126"/>
      <c r="AQ201" s="217"/>
      <c r="AR201" s="200"/>
      <c r="AS201" s="263"/>
      <c r="AT201" s="94"/>
      <c r="AU201" s="84"/>
      <c r="AV201" s="80"/>
      <c r="AW201" s="81"/>
      <c r="AX201" s="77"/>
      <c r="AY201" s="107"/>
      <c r="AZ201" s="220">
        <f t="shared" si="8"/>
        <v>0</v>
      </c>
      <c r="BA201" s="220">
        <f t="shared" si="9"/>
        <v>0</v>
      </c>
    </row>
    <row r="202" spans="1:53" ht="50.1" customHeight="1" x14ac:dyDescent="0.25">
      <c r="A202" s="17">
        <f t="shared" si="10"/>
        <v>188</v>
      </c>
      <c r="B202" s="229"/>
      <c r="C202" s="222"/>
      <c r="D202" s="112"/>
      <c r="E202" s="128"/>
      <c r="F202" s="183"/>
      <c r="G202" s="130"/>
      <c r="H202" s="131"/>
      <c r="I202" s="132"/>
      <c r="J202" s="189"/>
      <c r="K202" s="133"/>
      <c r="L202" s="134"/>
      <c r="M202" s="334"/>
      <c r="N202" s="343"/>
      <c r="O202" s="192"/>
      <c r="P202" s="191"/>
      <c r="Q202" s="192"/>
      <c r="R202" s="191"/>
      <c r="S202" s="295"/>
      <c r="T202" s="301"/>
      <c r="U202" s="306"/>
      <c r="V202" s="308"/>
      <c r="W202" s="249"/>
      <c r="X202" s="344"/>
      <c r="Y202" s="337"/>
      <c r="Z202" s="33"/>
      <c r="AA202" s="83"/>
      <c r="AB202" s="33"/>
      <c r="AC202" s="83"/>
      <c r="AD202" s="33"/>
      <c r="AE202" s="83"/>
      <c r="AF202" s="33"/>
      <c r="AG202" s="244"/>
      <c r="AH202" s="83"/>
      <c r="AI202" s="246"/>
      <c r="AJ202" s="102"/>
      <c r="AK202" s="92"/>
      <c r="AL202" s="91"/>
      <c r="AM202" s="92"/>
      <c r="AN202" s="351"/>
      <c r="AO202" s="197">
        <f t="shared" si="11"/>
        <v>0</v>
      </c>
      <c r="AP202" s="91"/>
      <c r="AQ202" s="217"/>
      <c r="AR202" s="103"/>
      <c r="AS202" s="264"/>
      <c r="AT202" s="94"/>
      <c r="AU202" s="84"/>
      <c r="AV202" s="136"/>
      <c r="AW202" s="81"/>
      <c r="AX202" s="137"/>
      <c r="AY202" s="138"/>
      <c r="AZ202" s="220">
        <f t="shared" si="8"/>
        <v>0</v>
      </c>
      <c r="BA202" s="220">
        <f t="shared" si="9"/>
        <v>0</v>
      </c>
    </row>
    <row r="203" spans="1:53" ht="50.1" customHeight="1" x14ac:dyDescent="0.25">
      <c r="A203" s="17">
        <f t="shared" si="10"/>
        <v>189</v>
      </c>
      <c r="B203" s="228"/>
      <c r="C203" s="221"/>
      <c r="D203" s="88"/>
      <c r="E203" s="100"/>
      <c r="F203" s="95"/>
      <c r="G203" s="114"/>
      <c r="H203" s="96"/>
      <c r="I203" s="97"/>
      <c r="J203" s="98"/>
      <c r="K203" s="101"/>
      <c r="L203" s="124"/>
      <c r="M203" s="333"/>
      <c r="N203" s="341"/>
      <c r="O203" s="190"/>
      <c r="P203" s="191"/>
      <c r="Q203" s="190"/>
      <c r="R203" s="191"/>
      <c r="S203" s="294"/>
      <c r="T203" s="300"/>
      <c r="U203" s="306"/>
      <c r="V203" s="308"/>
      <c r="W203" s="248"/>
      <c r="X203" s="342"/>
      <c r="Y203" s="337"/>
      <c r="Z203" s="123"/>
      <c r="AA203" s="83"/>
      <c r="AB203" s="123"/>
      <c r="AC203" s="83"/>
      <c r="AD203" s="123"/>
      <c r="AE203" s="83"/>
      <c r="AF203" s="123"/>
      <c r="AG203" s="243"/>
      <c r="AH203" s="33"/>
      <c r="AI203" s="245"/>
      <c r="AJ203" s="125"/>
      <c r="AK203" s="92"/>
      <c r="AL203" s="126"/>
      <c r="AM203" s="91"/>
      <c r="AN203" s="91"/>
      <c r="AO203" s="197">
        <f t="shared" si="11"/>
        <v>0</v>
      </c>
      <c r="AP203" s="126"/>
      <c r="AQ203" s="217"/>
      <c r="AR203" s="201"/>
      <c r="AS203" s="266"/>
      <c r="AT203" s="94"/>
      <c r="AU203" s="84"/>
      <c r="AV203" s="80"/>
      <c r="AW203" s="81"/>
      <c r="AX203" s="77"/>
      <c r="AY203" s="107"/>
      <c r="AZ203" s="220">
        <f t="shared" si="8"/>
        <v>0</v>
      </c>
      <c r="BA203" s="220">
        <f t="shared" si="9"/>
        <v>0</v>
      </c>
    </row>
    <row r="204" spans="1:53" ht="50.1" customHeight="1" x14ac:dyDescent="0.25">
      <c r="A204" s="17">
        <f t="shared" si="10"/>
        <v>190</v>
      </c>
      <c r="B204" s="229"/>
      <c r="C204" s="222"/>
      <c r="D204" s="112"/>
      <c r="E204" s="128"/>
      <c r="F204" s="183"/>
      <c r="G204" s="130"/>
      <c r="H204" s="131"/>
      <c r="I204" s="132"/>
      <c r="J204" s="189"/>
      <c r="K204" s="133"/>
      <c r="L204" s="134"/>
      <c r="M204" s="334"/>
      <c r="N204" s="343"/>
      <c r="O204" s="192"/>
      <c r="P204" s="191"/>
      <c r="Q204" s="192"/>
      <c r="R204" s="191"/>
      <c r="S204" s="295"/>
      <c r="T204" s="301"/>
      <c r="U204" s="306"/>
      <c r="V204" s="308"/>
      <c r="W204" s="249"/>
      <c r="X204" s="344"/>
      <c r="Y204" s="337"/>
      <c r="Z204" s="33"/>
      <c r="AA204" s="83"/>
      <c r="AB204" s="33"/>
      <c r="AC204" s="83"/>
      <c r="AD204" s="33"/>
      <c r="AE204" s="83"/>
      <c r="AF204" s="33"/>
      <c r="AG204" s="244"/>
      <c r="AH204" s="83"/>
      <c r="AI204" s="246"/>
      <c r="AJ204" s="102"/>
      <c r="AK204" s="92"/>
      <c r="AL204" s="91"/>
      <c r="AM204" s="92"/>
      <c r="AN204" s="351"/>
      <c r="AO204" s="197">
        <f t="shared" si="11"/>
        <v>0</v>
      </c>
      <c r="AP204" s="91"/>
      <c r="AQ204" s="217"/>
      <c r="AR204" s="103"/>
      <c r="AS204" s="264"/>
      <c r="AT204" s="94"/>
      <c r="AU204" s="84"/>
      <c r="AV204" s="136"/>
      <c r="AW204" s="81"/>
      <c r="AX204" s="137"/>
      <c r="AY204" s="138"/>
      <c r="AZ204" s="220">
        <f t="shared" si="8"/>
        <v>0</v>
      </c>
      <c r="BA204" s="220">
        <f t="shared" si="9"/>
        <v>0</v>
      </c>
    </row>
    <row r="205" spans="1:53" ht="50.1" customHeight="1" x14ac:dyDescent="0.25">
      <c r="A205" s="17">
        <f t="shared" si="10"/>
        <v>191</v>
      </c>
      <c r="B205" s="228"/>
      <c r="C205" s="221"/>
      <c r="D205" s="88"/>
      <c r="E205" s="100"/>
      <c r="F205" s="95"/>
      <c r="G205" s="114"/>
      <c r="H205" s="96"/>
      <c r="I205" s="97"/>
      <c r="J205" s="98"/>
      <c r="K205" s="101"/>
      <c r="L205" s="124"/>
      <c r="M205" s="333"/>
      <c r="N205" s="346"/>
      <c r="O205" s="190"/>
      <c r="P205" s="191"/>
      <c r="Q205" s="190"/>
      <c r="R205" s="191"/>
      <c r="S205" s="294"/>
      <c r="T205" s="300"/>
      <c r="U205" s="306"/>
      <c r="V205" s="308"/>
      <c r="W205" s="248"/>
      <c r="X205" s="342"/>
      <c r="Y205" s="337"/>
      <c r="Z205" s="123"/>
      <c r="AA205" s="83"/>
      <c r="AB205" s="123"/>
      <c r="AC205" s="83"/>
      <c r="AD205" s="123"/>
      <c r="AE205" s="83"/>
      <c r="AF205" s="123"/>
      <c r="AG205" s="243"/>
      <c r="AH205" s="33"/>
      <c r="AI205" s="245"/>
      <c r="AJ205" s="125"/>
      <c r="AK205" s="92"/>
      <c r="AL205" s="126"/>
      <c r="AM205" s="91"/>
      <c r="AN205" s="91"/>
      <c r="AO205" s="197">
        <f t="shared" si="11"/>
        <v>0</v>
      </c>
      <c r="AP205" s="126"/>
      <c r="AQ205" s="217"/>
      <c r="AR205" s="200"/>
      <c r="AS205" s="263"/>
      <c r="AT205" s="94"/>
      <c r="AU205" s="84"/>
      <c r="AV205" s="80"/>
      <c r="AW205" s="81"/>
      <c r="AX205" s="77"/>
      <c r="AY205" s="107"/>
      <c r="AZ205" s="220">
        <f t="shared" si="8"/>
        <v>0</v>
      </c>
      <c r="BA205" s="220">
        <f t="shared" si="9"/>
        <v>0</v>
      </c>
    </row>
    <row r="206" spans="1:53" ht="50.1" customHeight="1" x14ac:dyDescent="0.25">
      <c r="A206" s="17">
        <f t="shared" si="10"/>
        <v>192</v>
      </c>
      <c r="B206" s="229"/>
      <c r="C206" s="222"/>
      <c r="D206" s="112"/>
      <c r="E206" s="128"/>
      <c r="F206" s="183"/>
      <c r="G206" s="130"/>
      <c r="H206" s="131"/>
      <c r="I206" s="132"/>
      <c r="J206" s="189"/>
      <c r="K206" s="133"/>
      <c r="L206" s="134"/>
      <c r="M206" s="334"/>
      <c r="N206" s="343"/>
      <c r="O206" s="192"/>
      <c r="P206" s="191"/>
      <c r="Q206" s="192"/>
      <c r="R206" s="191"/>
      <c r="S206" s="295"/>
      <c r="T206" s="301"/>
      <c r="U206" s="306"/>
      <c r="V206" s="308"/>
      <c r="W206" s="249"/>
      <c r="X206" s="344"/>
      <c r="Y206" s="337"/>
      <c r="Z206" s="33"/>
      <c r="AA206" s="83"/>
      <c r="AB206" s="33"/>
      <c r="AC206" s="83"/>
      <c r="AD206" s="33"/>
      <c r="AE206" s="83"/>
      <c r="AF206" s="33"/>
      <c r="AG206" s="244"/>
      <c r="AH206" s="83"/>
      <c r="AI206" s="246"/>
      <c r="AJ206" s="102"/>
      <c r="AK206" s="92"/>
      <c r="AL206" s="91"/>
      <c r="AM206" s="92"/>
      <c r="AN206" s="351"/>
      <c r="AO206" s="197">
        <f t="shared" si="11"/>
        <v>0</v>
      </c>
      <c r="AP206" s="91"/>
      <c r="AQ206" s="217"/>
      <c r="AR206" s="103"/>
      <c r="AS206" s="264"/>
      <c r="AT206" s="94"/>
      <c r="AU206" s="84"/>
      <c r="AV206" s="136"/>
      <c r="AW206" s="81"/>
      <c r="AX206" s="137"/>
      <c r="AY206" s="138"/>
      <c r="AZ206" s="220">
        <f t="shared" si="8"/>
        <v>0</v>
      </c>
      <c r="BA206" s="220">
        <f t="shared" si="9"/>
        <v>0</v>
      </c>
    </row>
    <row r="207" spans="1:53" ht="50.1" customHeight="1" x14ac:dyDescent="0.25">
      <c r="A207" s="17">
        <f t="shared" si="10"/>
        <v>193</v>
      </c>
      <c r="B207" s="228"/>
      <c r="C207" s="221"/>
      <c r="D207" s="88"/>
      <c r="E207" s="100"/>
      <c r="F207" s="95"/>
      <c r="G207" s="114"/>
      <c r="H207" s="96"/>
      <c r="I207" s="97"/>
      <c r="J207" s="98"/>
      <c r="K207" s="101"/>
      <c r="L207" s="124"/>
      <c r="M207" s="333"/>
      <c r="N207" s="341"/>
      <c r="O207" s="190"/>
      <c r="P207" s="191"/>
      <c r="Q207" s="190"/>
      <c r="R207" s="191"/>
      <c r="S207" s="294"/>
      <c r="T207" s="300"/>
      <c r="U207" s="306"/>
      <c r="V207" s="308"/>
      <c r="W207" s="248"/>
      <c r="X207" s="342"/>
      <c r="Y207" s="337"/>
      <c r="Z207" s="123"/>
      <c r="AA207" s="83"/>
      <c r="AB207" s="123"/>
      <c r="AC207" s="83"/>
      <c r="AD207" s="123"/>
      <c r="AE207" s="83"/>
      <c r="AF207" s="123"/>
      <c r="AG207" s="243"/>
      <c r="AH207" s="33"/>
      <c r="AI207" s="245"/>
      <c r="AJ207" s="125"/>
      <c r="AK207" s="92"/>
      <c r="AL207" s="126"/>
      <c r="AM207" s="91"/>
      <c r="AN207" s="91"/>
      <c r="AO207" s="197">
        <f t="shared" si="11"/>
        <v>0</v>
      </c>
      <c r="AP207" s="126"/>
      <c r="AQ207" s="217"/>
      <c r="AR207" s="200"/>
      <c r="AS207" s="263"/>
      <c r="AT207" s="94"/>
      <c r="AU207" s="84"/>
      <c r="AV207" s="80"/>
      <c r="AW207" s="81"/>
      <c r="AX207" s="77"/>
      <c r="AY207" s="107"/>
      <c r="AZ207" s="220">
        <f t="shared" ref="AZ207:AZ270" si="12">M207-B207</f>
        <v>0</v>
      </c>
      <c r="BA207" s="220">
        <f t="shared" ref="BA207:BA270" si="13">AU207-M207</f>
        <v>0</v>
      </c>
    </row>
    <row r="208" spans="1:53" ht="50.1" customHeight="1" x14ac:dyDescent="0.25">
      <c r="A208" s="17">
        <f t="shared" ref="A208:A271" si="14">ROW(A194)</f>
        <v>194</v>
      </c>
      <c r="B208" s="229"/>
      <c r="C208" s="222"/>
      <c r="D208" s="112"/>
      <c r="E208" s="128"/>
      <c r="F208" s="183"/>
      <c r="G208" s="130"/>
      <c r="H208" s="131"/>
      <c r="I208" s="132"/>
      <c r="J208" s="189"/>
      <c r="K208" s="133"/>
      <c r="L208" s="134"/>
      <c r="M208" s="334"/>
      <c r="N208" s="343"/>
      <c r="O208" s="192"/>
      <c r="P208" s="191"/>
      <c r="Q208" s="192"/>
      <c r="R208" s="191"/>
      <c r="S208" s="295"/>
      <c r="T208" s="301"/>
      <c r="U208" s="306"/>
      <c r="V208" s="308"/>
      <c r="W208" s="249"/>
      <c r="X208" s="344"/>
      <c r="Y208" s="337"/>
      <c r="Z208" s="33"/>
      <c r="AA208" s="83"/>
      <c r="AB208" s="33"/>
      <c r="AC208" s="83"/>
      <c r="AD208" s="33"/>
      <c r="AE208" s="83"/>
      <c r="AF208" s="33"/>
      <c r="AG208" s="244"/>
      <c r="AH208" s="83"/>
      <c r="AI208" s="246"/>
      <c r="AJ208" s="102"/>
      <c r="AK208" s="92"/>
      <c r="AL208" s="91"/>
      <c r="AM208" s="92"/>
      <c r="AN208" s="351"/>
      <c r="AO208" s="197">
        <f t="shared" ref="AO208:AO271" si="15">AJ208-AK208-AL208-AM208-AN208</f>
        <v>0</v>
      </c>
      <c r="AP208" s="91"/>
      <c r="AQ208" s="217"/>
      <c r="AR208" s="103"/>
      <c r="AS208" s="264"/>
      <c r="AT208" s="94"/>
      <c r="AU208" s="84"/>
      <c r="AV208" s="136"/>
      <c r="AW208" s="81"/>
      <c r="AX208" s="137"/>
      <c r="AY208" s="138"/>
      <c r="AZ208" s="220">
        <f t="shared" si="12"/>
        <v>0</v>
      </c>
      <c r="BA208" s="220">
        <f t="shared" si="13"/>
        <v>0</v>
      </c>
    </row>
    <row r="209" spans="1:53" ht="50.1" customHeight="1" x14ac:dyDescent="0.25">
      <c r="A209" s="17">
        <f t="shared" si="14"/>
        <v>195</v>
      </c>
      <c r="B209" s="228"/>
      <c r="C209" s="221"/>
      <c r="D209" s="88"/>
      <c r="E209" s="100"/>
      <c r="F209" s="95"/>
      <c r="G209" s="114"/>
      <c r="H209" s="96"/>
      <c r="I209" s="97"/>
      <c r="J209" s="98"/>
      <c r="K209" s="101"/>
      <c r="L209" s="124"/>
      <c r="M209" s="333"/>
      <c r="N209" s="341"/>
      <c r="O209" s="190"/>
      <c r="P209" s="191"/>
      <c r="Q209" s="190"/>
      <c r="R209" s="191"/>
      <c r="S209" s="294"/>
      <c r="T209" s="300"/>
      <c r="U209" s="306"/>
      <c r="V209" s="308"/>
      <c r="W209" s="248"/>
      <c r="X209" s="342"/>
      <c r="Y209" s="337"/>
      <c r="Z209" s="123"/>
      <c r="AA209" s="83"/>
      <c r="AB209" s="123"/>
      <c r="AC209" s="83"/>
      <c r="AD209" s="123"/>
      <c r="AE209" s="83"/>
      <c r="AF209" s="123"/>
      <c r="AG209" s="243"/>
      <c r="AH209" s="33"/>
      <c r="AI209" s="245"/>
      <c r="AJ209" s="198"/>
      <c r="AK209" s="92"/>
      <c r="AL209" s="126"/>
      <c r="AM209" s="91"/>
      <c r="AN209" s="91"/>
      <c r="AO209" s="197">
        <f t="shared" si="15"/>
        <v>0</v>
      </c>
      <c r="AP209" s="126"/>
      <c r="AQ209" s="217"/>
      <c r="AR209" s="201"/>
      <c r="AS209" s="266"/>
      <c r="AT209" s="94"/>
      <c r="AU209" s="84"/>
      <c r="AV209" s="80"/>
      <c r="AW209" s="81"/>
      <c r="AX209" s="77"/>
      <c r="AY209" s="107"/>
      <c r="AZ209" s="220">
        <f t="shared" si="12"/>
        <v>0</v>
      </c>
      <c r="BA209" s="220">
        <f t="shared" si="13"/>
        <v>0</v>
      </c>
    </row>
    <row r="210" spans="1:53" ht="50.1" customHeight="1" x14ac:dyDescent="0.25">
      <c r="A210" s="17">
        <f t="shared" si="14"/>
        <v>196</v>
      </c>
      <c r="B210" s="229"/>
      <c r="C210" s="222"/>
      <c r="D210" s="112"/>
      <c r="E210" s="128"/>
      <c r="F210" s="183"/>
      <c r="G210" s="130"/>
      <c r="H210" s="131"/>
      <c r="I210" s="132"/>
      <c r="J210" s="189"/>
      <c r="K210" s="133"/>
      <c r="L210" s="134"/>
      <c r="M210" s="334"/>
      <c r="N210" s="343"/>
      <c r="O210" s="192"/>
      <c r="P210" s="191"/>
      <c r="Q210" s="192"/>
      <c r="R210" s="191"/>
      <c r="S210" s="295"/>
      <c r="T210" s="301"/>
      <c r="U210" s="306"/>
      <c r="V210" s="308"/>
      <c r="W210" s="249"/>
      <c r="X210" s="344"/>
      <c r="Y210" s="337"/>
      <c r="Z210" s="33"/>
      <c r="AA210" s="83"/>
      <c r="AB210" s="33"/>
      <c r="AC210" s="83"/>
      <c r="AD210" s="33"/>
      <c r="AE210" s="83"/>
      <c r="AF210" s="33"/>
      <c r="AG210" s="244"/>
      <c r="AH210" s="83"/>
      <c r="AI210" s="246"/>
      <c r="AJ210" s="195"/>
      <c r="AK210" s="92"/>
      <c r="AL210" s="91"/>
      <c r="AM210" s="92"/>
      <c r="AN210" s="351"/>
      <c r="AO210" s="197">
        <f t="shared" si="15"/>
        <v>0</v>
      </c>
      <c r="AP210" s="91"/>
      <c r="AQ210" s="217"/>
      <c r="AR210" s="196"/>
      <c r="AS210" s="265"/>
      <c r="AT210" s="94"/>
      <c r="AU210" s="84"/>
      <c r="AV210" s="136"/>
      <c r="AW210" s="81"/>
      <c r="AX210" s="137"/>
      <c r="AY210" s="138"/>
      <c r="AZ210" s="220">
        <f t="shared" si="12"/>
        <v>0</v>
      </c>
      <c r="BA210" s="220">
        <f t="shared" si="13"/>
        <v>0</v>
      </c>
    </row>
    <row r="211" spans="1:53" ht="50.1" customHeight="1" x14ac:dyDescent="0.25">
      <c r="A211" s="17">
        <f t="shared" si="14"/>
        <v>197</v>
      </c>
      <c r="B211" s="228"/>
      <c r="C211" s="221"/>
      <c r="D211" s="88"/>
      <c r="E211" s="100"/>
      <c r="F211" s="95"/>
      <c r="G211" s="114"/>
      <c r="H211" s="96"/>
      <c r="I211" s="97"/>
      <c r="J211" s="98"/>
      <c r="K211" s="101"/>
      <c r="L211" s="124"/>
      <c r="M211" s="333"/>
      <c r="N211" s="341"/>
      <c r="O211" s="190"/>
      <c r="P211" s="191"/>
      <c r="Q211" s="190"/>
      <c r="R211" s="191"/>
      <c r="S211" s="294"/>
      <c r="T211" s="300"/>
      <c r="U211" s="306"/>
      <c r="V211" s="308"/>
      <c r="W211" s="248"/>
      <c r="X211" s="342"/>
      <c r="Y211" s="337"/>
      <c r="Z211" s="123"/>
      <c r="AA211" s="83"/>
      <c r="AB211" s="123"/>
      <c r="AC211" s="83"/>
      <c r="AD211" s="123"/>
      <c r="AE211" s="83"/>
      <c r="AF211" s="123"/>
      <c r="AG211" s="243"/>
      <c r="AH211" s="33"/>
      <c r="AI211" s="245"/>
      <c r="AJ211" s="198"/>
      <c r="AK211" s="92"/>
      <c r="AL211" s="126"/>
      <c r="AM211" s="91"/>
      <c r="AN211" s="91"/>
      <c r="AO211" s="197">
        <f t="shared" si="15"/>
        <v>0</v>
      </c>
      <c r="AP211" s="126"/>
      <c r="AQ211" s="217"/>
      <c r="AR211" s="201"/>
      <c r="AS211" s="266"/>
      <c r="AT211" s="94"/>
      <c r="AU211" s="84"/>
      <c r="AV211" s="80"/>
      <c r="AW211" s="81"/>
      <c r="AX211" s="77"/>
      <c r="AY211" s="107"/>
      <c r="AZ211" s="220">
        <f t="shared" si="12"/>
        <v>0</v>
      </c>
      <c r="BA211" s="220">
        <f t="shared" si="13"/>
        <v>0</v>
      </c>
    </row>
    <row r="212" spans="1:53" ht="50.1" customHeight="1" x14ac:dyDescent="0.25">
      <c r="A212" s="17">
        <f t="shared" si="14"/>
        <v>198</v>
      </c>
      <c r="B212" s="229"/>
      <c r="C212" s="222"/>
      <c r="D212" s="112"/>
      <c r="E212" s="128"/>
      <c r="F212" s="183"/>
      <c r="G212" s="130"/>
      <c r="H212" s="131"/>
      <c r="I212" s="132"/>
      <c r="J212" s="189"/>
      <c r="K212" s="133"/>
      <c r="L212" s="134"/>
      <c r="M212" s="334"/>
      <c r="N212" s="343"/>
      <c r="O212" s="192"/>
      <c r="P212" s="191"/>
      <c r="Q212" s="192"/>
      <c r="R212" s="191"/>
      <c r="S212" s="295"/>
      <c r="T212" s="301"/>
      <c r="U212" s="306"/>
      <c r="V212" s="308"/>
      <c r="W212" s="249"/>
      <c r="X212" s="344"/>
      <c r="Y212" s="337"/>
      <c r="Z212" s="33"/>
      <c r="AA212" s="83"/>
      <c r="AB212" s="33"/>
      <c r="AC212" s="83"/>
      <c r="AD212" s="33"/>
      <c r="AE212" s="83"/>
      <c r="AF212" s="33"/>
      <c r="AG212" s="244"/>
      <c r="AH212" s="83"/>
      <c r="AI212" s="246"/>
      <c r="AJ212" s="102"/>
      <c r="AK212" s="92"/>
      <c r="AL212" s="91"/>
      <c r="AM212" s="92"/>
      <c r="AN212" s="351"/>
      <c r="AO212" s="197">
        <f t="shared" si="15"/>
        <v>0</v>
      </c>
      <c r="AP212" s="91"/>
      <c r="AQ212" s="217"/>
      <c r="AR212" s="196"/>
      <c r="AS212" s="265"/>
      <c r="AT212" s="94"/>
      <c r="AU212" s="84"/>
      <c r="AV212" s="136"/>
      <c r="AW212" s="81"/>
      <c r="AX212" s="137"/>
      <c r="AY212" s="138"/>
      <c r="AZ212" s="220">
        <f t="shared" si="12"/>
        <v>0</v>
      </c>
      <c r="BA212" s="220">
        <f t="shared" si="13"/>
        <v>0</v>
      </c>
    </row>
    <row r="213" spans="1:53" ht="50.1" customHeight="1" x14ac:dyDescent="0.25">
      <c r="A213" s="17">
        <f t="shared" si="14"/>
        <v>199</v>
      </c>
      <c r="B213" s="228"/>
      <c r="C213" s="221"/>
      <c r="D213" s="88"/>
      <c r="E213" s="100"/>
      <c r="F213" s="95"/>
      <c r="G213" s="114"/>
      <c r="H213" s="96"/>
      <c r="I213" s="97"/>
      <c r="J213" s="98"/>
      <c r="K213" s="101"/>
      <c r="L213" s="124"/>
      <c r="M213" s="333"/>
      <c r="N213" s="341"/>
      <c r="O213" s="190"/>
      <c r="P213" s="191"/>
      <c r="Q213" s="190"/>
      <c r="R213" s="191"/>
      <c r="S213" s="294"/>
      <c r="T213" s="300"/>
      <c r="U213" s="306"/>
      <c r="V213" s="308"/>
      <c r="W213" s="248"/>
      <c r="X213" s="342"/>
      <c r="Y213" s="337"/>
      <c r="Z213" s="123"/>
      <c r="AA213" s="83"/>
      <c r="AB213" s="123"/>
      <c r="AC213" s="83"/>
      <c r="AD213" s="123"/>
      <c r="AE213" s="83"/>
      <c r="AF213" s="123"/>
      <c r="AG213" s="243"/>
      <c r="AH213" s="33"/>
      <c r="AI213" s="245"/>
      <c r="AJ213" s="125"/>
      <c r="AK213" s="92"/>
      <c r="AL213" s="126"/>
      <c r="AM213" s="91"/>
      <c r="AN213" s="91"/>
      <c r="AO213" s="197">
        <f t="shared" si="15"/>
        <v>0</v>
      </c>
      <c r="AP213" s="126"/>
      <c r="AQ213" s="217"/>
      <c r="AR213" s="201"/>
      <c r="AS213" s="266"/>
      <c r="AT213" s="94"/>
      <c r="AU213" s="84"/>
      <c r="AV213" s="80"/>
      <c r="AW213" s="81"/>
      <c r="AX213" s="77"/>
      <c r="AY213" s="107"/>
      <c r="AZ213" s="220">
        <f t="shared" si="12"/>
        <v>0</v>
      </c>
      <c r="BA213" s="220">
        <f t="shared" si="13"/>
        <v>0</v>
      </c>
    </row>
    <row r="214" spans="1:53" ht="50.1" customHeight="1" x14ac:dyDescent="0.25">
      <c r="A214" s="17">
        <f t="shared" si="14"/>
        <v>200</v>
      </c>
      <c r="B214" s="229"/>
      <c r="C214" s="222"/>
      <c r="D214" s="112"/>
      <c r="E214" s="128"/>
      <c r="F214" s="183"/>
      <c r="G214" s="130"/>
      <c r="H214" s="131"/>
      <c r="I214" s="132"/>
      <c r="J214" s="189"/>
      <c r="K214" s="133"/>
      <c r="L214" s="134"/>
      <c r="M214" s="334"/>
      <c r="N214" s="343"/>
      <c r="O214" s="193"/>
      <c r="P214" s="191"/>
      <c r="Q214" s="193"/>
      <c r="R214" s="191"/>
      <c r="S214" s="296"/>
      <c r="T214" s="302"/>
      <c r="U214" s="306"/>
      <c r="V214" s="308"/>
      <c r="W214" s="249"/>
      <c r="X214" s="344"/>
      <c r="Y214" s="337"/>
      <c r="Z214" s="33"/>
      <c r="AA214" s="83"/>
      <c r="AB214" s="33"/>
      <c r="AC214" s="83"/>
      <c r="AD214" s="33"/>
      <c r="AE214" s="83"/>
      <c r="AF214" s="33"/>
      <c r="AG214" s="244"/>
      <c r="AH214" s="83"/>
      <c r="AI214" s="246"/>
      <c r="AJ214" s="102"/>
      <c r="AK214" s="92"/>
      <c r="AL214" s="91"/>
      <c r="AM214" s="92"/>
      <c r="AN214" s="351"/>
      <c r="AO214" s="197">
        <f t="shared" si="15"/>
        <v>0</v>
      </c>
      <c r="AP214" s="91"/>
      <c r="AQ214" s="217"/>
      <c r="AR214" s="196"/>
      <c r="AS214" s="265"/>
      <c r="AT214" s="94"/>
      <c r="AU214" s="84"/>
      <c r="AV214" s="136"/>
      <c r="AW214" s="81"/>
      <c r="AX214" s="137"/>
      <c r="AY214" s="138"/>
      <c r="AZ214" s="220">
        <f t="shared" si="12"/>
        <v>0</v>
      </c>
      <c r="BA214" s="220">
        <f t="shared" si="13"/>
        <v>0</v>
      </c>
    </row>
    <row r="215" spans="1:53" ht="50.1" customHeight="1" x14ac:dyDescent="0.25">
      <c r="A215" s="17">
        <f t="shared" si="14"/>
        <v>201</v>
      </c>
      <c r="B215" s="228"/>
      <c r="C215" s="221"/>
      <c r="D215" s="88"/>
      <c r="E215" s="100"/>
      <c r="F215" s="95"/>
      <c r="G215" s="114"/>
      <c r="H215" s="96"/>
      <c r="I215" s="97"/>
      <c r="J215" s="98"/>
      <c r="K215" s="101"/>
      <c r="L215" s="124"/>
      <c r="M215" s="333"/>
      <c r="N215" s="341"/>
      <c r="O215" s="190"/>
      <c r="P215" s="191"/>
      <c r="Q215" s="190"/>
      <c r="R215" s="191"/>
      <c r="S215" s="294"/>
      <c r="T215" s="300"/>
      <c r="U215" s="306"/>
      <c r="V215" s="308"/>
      <c r="W215" s="248"/>
      <c r="X215" s="342"/>
      <c r="Y215" s="337"/>
      <c r="Z215" s="123"/>
      <c r="AA215" s="83"/>
      <c r="AB215" s="123"/>
      <c r="AC215" s="83"/>
      <c r="AD215" s="123"/>
      <c r="AE215" s="83"/>
      <c r="AF215" s="123"/>
      <c r="AG215" s="243"/>
      <c r="AH215" s="33"/>
      <c r="AI215" s="245"/>
      <c r="AJ215" s="125"/>
      <c r="AK215" s="92"/>
      <c r="AL215" s="126"/>
      <c r="AM215" s="91"/>
      <c r="AN215" s="91"/>
      <c r="AO215" s="197">
        <f t="shared" si="15"/>
        <v>0</v>
      </c>
      <c r="AP215" s="126"/>
      <c r="AQ215" s="217"/>
      <c r="AR215" s="201"/>
      <c r="AS215" s="266"/>
      <c r="AT215" s="94"/>
      <c r="AU215" s="84"/>
      <c r="AV215" s="80"/>
      <c r="AW215" s="81"/>
      <c r="AX215" s="77"/>
      <c r="AY215" s="107"/>
      <c r="AZ215" s="220">
        <f t="shared" si="12"/>
        <v>0</v>
      </c>
      <c r="BA215" s="220">
        <f t="shared" si="13"/>
        <v>0</v>
      </c>
    </row>
    <row r="216" spans="1:53" ht="50.1" customHeight="1" x14ac:dyDescent="0.25">
      <c r="A216" s="17">
        <f t="shared" si="14"/>
        <v>202</v>
      </c>
      <c r="B216" s="229"/>
      <c r="C216" s="222"/>
      <c r="D216" s="112"/>
      <c r="E216" s="128"/>
      <c r="F216" s="183"/>
      <c r="G216" s="130"/>
      <c r="H216" s="131"/>
      <c r="I216" s="132"/>
      <c r="J216" s="189"/>
      <c r="K216" s="133"/>
      <c r="L216" s="134"/>
      <c r="M216" s="334"/>
      <c r="N216" s="343"/>
      <c r="O216" s="192"/>
      <c r="P216" s="191"/>
      <c r="Q216" s="192"/>
      <c r="R216" s="191"/>
      <c r="S216" s="295"/>
      <c r="T216" s="301"/>
      <c r="U216" s="306"/>
      <c r="V216" s="308"/>
      <c r="W216" s="249"/>
      <c r="X216" s="344"/>
      <c r="Y216" s="337"/>
      <c r="Z216" s="33"/>
      <c r="AA216" s="83"/>
      <c r="AB216" s="33"/>
      <c r="AC216" s="83"/>
      <c r="AD216" s="33"/>
      <c r="AE216" s="83"/>
      <c r="AF216" s="33"/>
      <c r="AG216" s="244"/>
      <c r="AH216" s="83"/>
      <c r="AI216" s="246"/>
      <c r="AJ216" s="102"/>
      <c r="AK216" s="92"/>
      <c r="AL216" s="91"/>
      <c r="AM216" s="92"/>
      <c r="AN216" s="351"/>
      <c r="AO216" s="197">
        <f t="shared" si="15"/>
        <v>0</v>
      </c>
      <c r="AP216" s="91"/>
      <c r="AQ216" s="217"/>
      <c r="AR216" s="196"/>
      <c r="AS216" s="265"/>
      <c r="AT216" s="94"/>
      <c r="AU216" s="84"/>
      <c r="AV216" s="136"/>
      <c r="AW216" s="81"/>
      <c r="AX216" s="137"/>
      <c r="AY216" s="138"/>
      <c r="AZ216" s="220">
        <f t="shared" si="12"/>
        <v>0</v>
      </c>
      <c r="BA216" s="220">
        <f t="shared" si="13"/>
        <v>0</v>
      </c>
    </row>
    <row r="217" spans="1:53" ht="50.1" customHeight="1" x14ac:dyDescent="0.25">
      <c r="A217" s="17">
        <f t="shared" si="14"/>
        <v>203</v>
      </c>
      <c r="B217" s="228"/>
      <c r="C217" s="221"/>
      <c r="D217" s="88"/>
      <c r="E217" s="100"/>
      <c r="F217" s="95"/>
      <c r="G217" s="114"/>
      <c r="H217" s="96"/>
      <c r="I217" s="97"/>
      <c r="J217" s="98"/>
      <c r="K217" s="101"/>
      <c r="L217" s="124"/>
      <c r="M217" s="333"/>
      <c r="N217" s="341"/>
      <c r="O217" s="190"/>
      <c r="P217" s="191"/>
      <c r="Q217" s="190"/>
      <c r="R217" s="191"/>
      <c r="S217" s="294"/>
      <c r="T217" s="300"/>
      <c r="U217" s="306"/>
      <c r="V217" s="308"/>
      <c r="W217" s="248"/>
      <c r="X217" s="345"/>
      <c r="Y217" s="337"/>
      <c r="Z217" s="123"/>
      <c r="AA217" s="83"/>
      <c r="AB217" s="123"/>
      <c r="AC217" s="83"/>
      <c r="AD217" s="123"/>
      <c r="AE217" s="83"/>
      <c r="AF217" s="123"/>
      <c r="AG217" s="243"/>
      <c r="AH217" s="123"/>
      <c r="AI217" s="245"/>
      <c r="AJ217" s="125"/>
      <c r="AK217" s="92"/>
      <c r="AL217" s="126"/>
      <c r="AM217" s="91"/>
      <c r="AN217" s="91"/>
      <c r="AO217" s="197">
        <f t="shared" si="15"/>
        <v>0</v>
      </c>
      <c r="AP217" s="126"/>
      <c r="AQ217" s="217"/>
      <c r="AR217" s="201"/>
      <c r="AS217" s="266"/>
      <c r="AT217" s="94"/>
      <c r="AU217" s="84"/>
      <c r="AV217" s="80"/>
      <c r="AW217" s="81"/>
      <c r="AX217" s="77"/>
      <c r="AY217" s="107"/>
      <c r="AZ217" s="220">
        <f t="shared" si="12"/>
        <v>0</v>
      </c>
      <c r="BA217" s="220">
        <f t="shared" si="13"/>
        <v>0</v>
      </c>
    </row>
    <row r="218" spans="1:53" ht="50.1" customHeight="1" x14ac:dyDescent="0.25">
      <c r="A218" s="17">
        <f t="shared" si="14"/>
        <v>204</v>
      </c>
      <c r="B218" s="229"/>
      <c r="C218" s="222"/>
      <c r="D218" s="112"/>
      <c r="E218" s="128"/>
      <c r="F218" s="183"/>
      <c r="G218" s="130"/>
      <c r="H218" s="131"/>
      <c r="I218" s="132"/>
      <c r="J218" s="189"/>
      <c r="K218" s="133"/>
      <c r="L218" s="134"/>
      <c r="M218" s="334"/>
      <c r="N218" s="343"/>
      <c r="O218" s="192"/>
      <c r="P218" s="191"/>
      <c r="Q218" s="192"/>
      <c r="R218" s="191"/>
      <c r="S218" s="295"/>
      <c r="T218" s="301"/>
      <c r="U218" s="306"/>
      <c r="V218" s="308"/>
      <c r="W218" s="249"/>
      <c r="X218" s="344"/>
      <c r="Y218" s="337"/>
      <c r="Z218" s="33"/>
      <c r="AA218" s="83"/>
      <c r="AB218" s="33"/>
      <c r="AC218" s="83"/>
      <c r="AD218" s="33"/>
      <c r="AE218" s="83"/>
      <c r="AF218" s="33"/>
      <c r="AG218" s="244"/>
      <c r="AH218" s="83"/>
      <c r="AI218" s="246"/>
      <c r="AJ218" s="102"/>
      <c r="AK218" s="92"/>
      <c r="AL218" s="91"/>
      <c r="AM218" s="92"/>
      <c r="AN218" s="351"/>
      <c r="AO218" s="197">
        <f t="shared" si="15"/>
        <v>0</v>
      </c>
      <c r="AP218" s="91"/>
      <c r="AQ218" s="217"/>
      <c r="AR218" s="196"/>
      <c r="AS218" s="265"/>
      <c r="AT218" s="94"/>
      <c r="AU218" s="84"/>
      <c r="AV218" s="136"/>
      <c r="AW218" s="81"/>
      <c r="AX218" s="137"/>
      <c r="AY218" s="138"/>
      <c r="AZ218" s="220">
        <f t="shared" si="12"/>
        <v>0</v>
      </c>
      <c r="BA218" s="220">
        <f t="shared" si="13"/>
        <v>0</v>
      </c>
    </row>
    <row r="219" spans="1:53" ht="50.1" customHeight="1" x14ac:dyDescent="0.25">
      <c r="A219" s="17">
        <f t="shared" si="14"/>
        <v>205</v>
      </c>
      <c r="B219" s="228"/>
      <c r="C219" s="221"/>
      <c r="D219" s="88"/>
      <c r="E219" s="100"/>
      <c r="F219" s="95"/>
      <c r="G219" s="114"/>
      <c r="H219" s="96"/>
      <c r="I219" s="97"/>
      <c r="J219" s="98"/>
      <c r="K219" s="101"/>
      <c r="L219" s="124"/>
      <c r="M219" s="333"/>
      <c r="N219" s="341"/>
      <c r="O219" s="190"/>
      <c r="P219" s="191"/>
      <c r="Q219" s="190"/>
      <c r="R219" s="191"/>
      <c r="S219" s="294"/>
      <c r="T219" s="300"/>
      <c r="U219" s="306"/>
      <c r="V219" s="308"/>
      <c r="W219" s="248"/>
      <c r="X219" s="342"/>
      <c r="Y219" s="337"/>
      <c r="Z219" s="123"/>
      <c r="AA219" s="83"/>
      <c r="AB219" s="123"/>
      <c r="AC219" s="83"/>
      <c r="AD219" s="123"/>
      <c r="AE219" s="83"/>
      <c r="AF219" s="123"/>
      <c r="AG219" s="243"/>
      <c r="AH219" s="33"/>
      <c r="AI219" s="245"/>
      <c r="AJ219" s="125"/>
      <c r="AK219" s="92"/>
      <c r="AL219" s="126"/>
      <c r="AM219" s="91"/>
      <c r="AN219" s="91"/>
      <c r="AO219" s="197">
        <f t="shared" si="15"/>
        <v>0</v>
      </c>
      <c r="AP219" s="126"/>
      <c r="AQ219" s="217"/>
      <c r="AR219" s="201"/>
      <c r="AS219" s="266"/>
      <c r="AT219" s="94"/>
      <c r="AU219" s="84"/>
      <c r="AV219" s="80"/>
      <c r="AW219" s="81"/>
      <c r="AX219" s="77"/>
      <c r="AY219" s="107"/>
      <c r="AZ219" s="220">
        <f t="shared" si="12"/>
        <v>0</v>
      </c>
      <c r="BA219" s="220">
        <f t="shared" si="13"/>
        <v>0</v>
      </c>
    </row>
    <row r="220" spans="1:53" ht="50.1" customHeight="1" x14ac:dyDescent="0.25">
      <c r="A220" s="17">
        <f t="shared" si="14"/>
        <v>206</v>
      </c>
      <c r="B220" s="229"/>
      <c r="C220" s="222"/>
      <c r="D220" s="112"/>
      <c r="E220" s="128"/>
      <c r="F220" s="183"/>
      <c r="G220" s="130"/>
      <c r="H220" s="131"/>
      <c r="I220" s="132"/>
      <c r="J220" s="189"/>
      <c r="K220" s="133"/>
      <c r="L220" s="134"/>
      <c r="M220" s="334"/>
      <c r="N220" s="343"/>
      <c r="O220" s="192"/>
      <c r="P220" s="191"/>
      <c r="Q220" s="192"/>
      <c r="R220" s="191"/>
      <c r="S220" s="295"/>
      <c r="T220" s="301"/>
      <c r="U220" s="306"/>
      <c r="V220" s="308"/>
      <c r="W220" s="249"/>
      <c r="X220" s="344"/>
      <c r="Y220" s="337"/>
      <c r="Z220" s="33"/>
      <c r="AA220" s="83"/>
      <c r="AB220" s="33"/>
      <c r="AC220" s="83"/>
      <c r="AD220" s="33"/>
      <c r="AE220" s="83"/>
      <c r="AF220" s="33"/>
      <c r="AG220" s="244"/>
      <c r="AH220" s="83"/>
      <c r="AI220" s="246"/>
      <c r="AJ220" s="102"/>
      <c r="AK220" s="92"/>
      <c r="AL220" s="91"/>
      <c r="AM220" s="92"/>
      <c r="AN220" s="351"/>
      <c r="AO220" s="197">
        <f t="shared" si="15"/>
        <v>0</v>
      </c>
      <c r="AP220" s="91"/>
      <c r="AQ220" s="217"/>
      <c r="AR220" s="196"/>
      <c r="AS220" s="265"/>
      <c r="AT220" s="94"/>
      <c r="AU220" s="84"/>
      <c r="AV220" s="136"/>
      <c r="AW220" s="81"/>
      <c r="AX220" s="137"/>
      <c r="AY220" s="138"/>
      <c r="AZ220" s="220">
        <f t="shared" si="12"/>
        <v>0</v>
      </c>
      <c r="BA220" s="220">
        <f t="shared" si="13"/>
        <v>0</v>
      </c>
    </row>
    <row r="221" spans="1:53" ht="50.1" customHeight="1" x14ac:dyDescent="0.25">
      <c r="A221" s="17">
        <f t="shared" si="14"/>
        <v>207</v>
      </c>
      <c r="B221" s="228"/>
      <c r="C221" s="221"/>
      <c r="D221" s="88"/>
      <c r="E221" s="100"/>
      <c r="F221" s="95"/>
      <c r="G221" s="114"/>
      <c r="H221" s="96"/>
      <c r="I221" s="97"/>
      <c r="J221" s="98"/>
      <c r="K221" s="101"/>
      <c r="L221" s="124"/>
      <c r="M221" s="333"/>
      <c r="N221" s="341"/>
      <c r="O221" s="190"/>
      <c r="P221" s="191"/>
      <c r="Q221" s="190"/>
      <c r="R221" s="191"/>
      <c r="S221" s="294"/>
      <c r="T221" s="300"/>
      <c r="U221" s="306"/>
      <c r="V221" s="308"/>
      <c r="W221" s="248"/>
      <c r="X221" s="342"/>
      <c r="Y221" s="337"/>
      <c r="Z221" s="123"/>
      <c r="AA221" s="83"/>
      <c r="AB221" s="123"/>
      <c r="AC221" s="83"/>
      <c r="AD221" s="123"/>
      <c r="AE221" s="83"/>
      <c r="AF221" s="123"/>
      <c r="AG221" s="243"/>
      <c r="AH221" s="33"/>
      <c r="AI221" s="245"/>
      <c r="AJ221" s="125"/>
      <c r="AK221" s="92"/>
      <c r="AL221" s="126"/>
      <c r="AM221" s="91"/>
      <c r="AN221" s="91"/>
      <c r="AO221" s="197">
        <f t="shared" si="15"/>
        <v>0</v>
      </c>
      <c r="AP221" s="126"/>
      <c r="AQ221" s="217"/>
      <c r="AR221" s="201"/>
      <c r="AS221" s="266"/>
      <c r="AT221" s="94"/>
      <c r="AU221" s="84"/>
      <c r="AV221" s="80"/>
      <c r="AW221" s="81"/>
      <c r="AX221" s="77"/>
      <c r="AY221" s="107"/>
      <c r="AZ221" s="220">
        <f t="shared" si="12"/>
        <v>0</v>
      </c>
      <c r="BA221" s="220">
        <f t="shared" si="13"/>
        <v>0</v>
      </c>
    </row>
    <row r="222" spans="1:53" ht="50.1" customHeight="1" x14ac:dyDescent="0.25">
      <c r="A222" s="17">
        <f t="shared" si="14"/>
        <v>208</v>
      </c>
      <c r="B222" s="229"/>
      <c r="C222" s="222"/>
      <c r="D222" s="112"/>
      <c r="E222" s="128"/>
      <c r="F222" s="183"/>
      <c r="G222" s="130"/>
      <c r="H222" s="131"/>
      <c r="I222" s="132"/>
      <c r="J222" s="189"/>
      <c r="K222" s="133"/>
      <c r="L222" s="134"/>
      <c r="M222" s="334"/>
      <c r="N222" s="343"/>
      <c r="O222" s="192"/>
      <c r="P222" s="191"/>
      <c r="Q222" s="192"/>
      <c r="R222" s="191"/>
      <c r="S222" s="295"/>
      <c r="T222" s="301"/>
      <c r="U222" s="306"/>
      <c r="V222" s="308"/>
      <c r="W222" s="249"/>
      <c r="X222" s="344"/>
      <c r="Y222" s="337"/>
      <c r="Z222" s="33"/>
      <c r="AA222" s="83"/>
      <c r="AB222" s="33"/>
      <c r="AC222" s="83"/>
      <c r="AD222" s="33"/>
      <c r="AE222" s="83"/>
      <c r="AF222" s="33"/>
      <c r="AG222" s="244"/>
      <c r="AH222" s="83"/>
      <c r="AI222" s="246"/>
      <c r="AJ222" s="102"/>
      <c r="AK222" s="92"/>
      <c r="AL222" s="91"/>
      <c r="AM222" s="92"/>
      <c r="AN222" s="351"/>
      <c r="AO222" s="197">
        <f t="shared" si="15"/>
        <v>0</v>
      </c>
      <c r="AP222" s="91"/>
      <c r="AQ222" s="217"/>
      <c r="AR222" s="196"/>
      <c r="AS222" s="265"/>
      <c r="AT222" s="94"/>
      <c r="AU222" s="84"/>
      <c r="AV222" s="136"/>
      <c r="AW222" s="81"/>
      <c r="AX222" s="137"/>
      <c r="AY222" s="138"/>
      <c r="AZ222" s="220">
        <f t="shared" si="12"/>
        <v>0</v>
      </c>
      <c r="BA222" s="220">
        <f t="shared" si="13"/>
        <v>0</v>
      </c>
    </row>
    <row r="223" spans="1:53" ht="50.1" customHeight="1" x14ac:dyDescent="0.25">
      <c r="A223" s="17">
        <f t="shared" si="14"/>
        <v>209</v>
      </c>
      <c r="B223" s="228"/>
      <c r="C223" s="221"/>
      <c r="D223" s="88"/>
      <c r="E223" s="100"/>
      <c r="F223" s="95"/>
      <c r="G223" s="114"/>
      <c r="H223" s="96"/>
      <c r="I223" s="97"/>
      <c r="J223" s="98"/>
      <c r="K223" s="101"/>
      <c r="L223" s="124"/>
      <c r="M223" s="333"/>
      <c r="N223" s="341"/>
      <c r="O223" s="190"/>
      <c r="P223" s="191"/>
      <c r="Q223" s="190"/>
      <c r="R223" s="191"/>
      <c r="S223" s="294"/>
      <c r="T223" s="300"/>
      <c r="U223" s="306"/>
      <c r="V223" s="308"/>
      <c r="W223" s="248"/>
      <c r="X223" s="342"/>
      <c r="Y223" s="337"/>
      <c r="Z223" s="123"/>
      <c r="AA223" s="83"/>
      <c r="AB223" s="123"/>
      <c r="AC223" s="83"/>
      <c r="AD223" s="123"/>
      <c r="AE223" s="83"/>
      <c r="AF223" s="123"/>
      <c r="AG223" s="243"/>
      <c r="AH223" s="33"/>
      <c r="AI223" s="245"/>
      <c r="AJ223" s="125"/>
      <c r="AK223" s="92"/>
      <c r="AL223" s="126"/>
      <c r="AM223" s="91"/>
      <c r="AN223" s="91"/>
      <c r="AO223" s="197">
        <f t="shared" si="15"/>
        <v>0</v>
      </c>
      <c r="AP223" s="126"/>
      <c r="AQ223" s="217"/>
      <c r="AR223" s="201"/>
      <c r="AS223" s="266"/>
      <c r="AT223" s="94"/>
      <c r="AU223" s="84"/>
      <c r="AV223" s="80"/>
      <c r="AW223" s="81"/>
      <c r="AX223" s="77"/>
      <c r="AY223" s="107"/>
      <c r="AZ223" s="220">
        <f t="shared" si="12"/>
        <v>0</v>
      </c>
      <c r="BA223" s="220">
        <f t="shared" si="13"/>
        <v>0</v>
      </c>
    </row>
    <row r="224" spans="1:53" ht="50.1" customHeight="1" x14ac:dyDescent="0.25">
      <c r="A224" s="17">
        <f t="shared" si="14"/>
        <v>210</v>
      </c>
      <c r="B224" s="229"/>
      <c r="C224" s="222"/>
      <c r="D224" s="112"/>
      <c r="E224" s="128"/>
      <c r="F224" s="183"/>
      <c r="G224" s="130"/>
      <c r="H224" s="131"/>
      <c r="I224" s="132"/>
      <c r="J224" s="189"/>
      <c r="K224" s="133"/>
      <c r="L224" s="134"/>
      <c r="M224" s="334"/>
      <c r="N224" s="343"/>
      <c r="O224" s="192"/>
      <c r="P224" s="191"/>
      <c r="Q224" s="192"/>
      <c r="R224" s="191"/>
      <c r="S224" s="295"/>
      <c r="T224" s="301"/>
      <c r="U224" s="306"/>
      <c r="V224" s="308"/>
      <c r="W224" s="249"/>
      <c r="X224" s="344"/>
      <c r="Y224" s="337"/>
      <c r="Z224" s="33"/>
      <c r="AA224" s="83"/>
      <c r="AB224" s="33"/>
      <c r="AC224" s="83"/>
      <c r="AD224" s="33"/>
      <c r="AE224" s="83"/>
      <c r="AF224" s="33"/>
      <c r="AG224" s="244"/>
      <c r="AH224" s="83"/>
      <c r="AI224" s="246"/>
      <c r="AJ224" s="102"/>
      <c r="AK224" s="92"/>
      <c r="AL224" s="91"/>
      <c r="AM224" s="92"/>
      <c r="AN224" s="351"/>
      <c r="AO224" s="197">
        <f t="shared" si="15"/>
        <v>0</v>
      </c>
      <c r="AP224" s="91"/>
      <c r="AQ224" s="217"/>
      <c r="AR224" s="196"/>
      <c r="AS224" s="265"/>
      <c r="AT224" s="94"/>
      <c r="AU224" s="84"/>
      <c r="AV224" s="136"/>
      <c r="AW224" s="81"/>
      <c r="AX224" s="137"/>
      <c r="AY224" s="138"/>
      <c r="AZ224" s="220">
        <f t="shared" si="12"/>
        <v>0</v>
      </c>
      <c r="BA224" s="220">
        <f t="shared" si="13"/>
        <v>0</v>
      </c>
    </row>
    <row r="225" spans="1:53" ht="50.1" customHeight="1" x14ac:dyDescent="0.25">
      <c r="A225" s="17">
        <f t="shared" si="14"/>
        <v>211</v>
      </c>
      <c r="B225" s="228"/>
      <c r="C225" s="221"/>
      <c r="D225" s="88"/>
      <c r="E225" s="100"/>
      <c r="F225" s="95"/>
      <c r="G225" s="114"/>
      <c r="H225" s="96"/>
      <c r="I225" s="97"/>
      <c r="J225" s="98"/>
      <c r="K225" s="101"/>
      <c r="L225" s="124"/>
      <c r="M225" s="333"/>
      <c r="N225" s="341"/>
      <c r="O225" s="190"/>
      <c r="P225" s="191"/>
      <c r="Q225" s="190"/>
      <c r="R225" s="191"/>
      <c r="S225" s="294"/>
      <c r="T225" s="300"/>
      <c r="U225" s="306"/>
      <c r="V225" s="308"/>
      <c r="W225" s="248"/>
      <c r="X225" s="342"/>
      <c r="Y225" s="337"/>
      <c r="Z225" s="123"/>
      <c r="AA225" s="83"/>
      <c r="AB225" s="123"/>
      <c r="AC225" s="83"/>
      <c r="AD225" s="123"/>
      <c r="AE225" s="83"/>
      <c r="AF225" s="123"/>
      <c r="AG225" s="243"/>
      <c r="AH225" s="33"/>
      <c r="AI225" s="245"/>
      <c r="AJ225" s="125"/>
      <c r="AK225" s="92"/>
      <c r="AL225" s="126"/>
      <c r="AM225" s="91"/>
      <c r="AN225" s="91"/>
      <c r="AO225" s="197">
        <f t="shared" si="15"/>
        <v>0</v>
      </c>
      <c r="AP225" s="126"/>
      <c r="AQ225" s="217"/>
      <c r="AR225" s="201"/>
      <c r="AS225" s="266"/>
      <c r="AT225" s="94"/>
      <c r="AU225" s="84"/>
      <c r="AV225" s="80"/>
      <c r="AW225" s="81"/>
      <c r="AX225" s="77"/>
      <c r="AY225" s="107"/>
      <c r="AZ225" s="220">
        <f t="shared" si="12"/>
        <v>0</v>
      </c>
      <c r="BA225" s="220">
        <f t="shared" si="13"/>
        <v>0</v>
      </c>
    </row>
    <row r="226" spans="1:53" ht="50.1" customHeight="1" x14ac:dyDescent="0.25">
      <c r="A226" s="17">
        <f t="shared" si="14"/>
        <v>212</v>
      </c>
      <c r="B226" s="229"/>
      <c r="C226" s="222"/>
      <c r="D226" s="112"/>
      <c r="E226" s="128"/>
      <c r="F226" s="183"/>
      <c r="G226" s="130"/>
      <c r="H226" s="131"/>
      <c r="I226" s="132"/>
      <c r="J226" s="189"/>
      <c r="K226" s="133"/>
      <c r="L226" s="134"/>
      <c r="M226" s="334"/>
      <c r="N226" s="343"/>
      <c r="O226" s="192"/>
      <c r="P226" s="191"/>
      <c r="Q226" s="192"/>
      <c r="R226" s="191"/>
      <c r="S226" s="295"/>
      <c r="T226" s="301"/>
      <c r="U226" s="306"/>
      <c r="V226" s="308"/>
      <c r="W226" s="249"/>
      <c r="X226" s="344"/>
      <c r="Y226" s="337"/>
      <c r="Z226" s="33"/>
      <c r="AA226" s="83"/>
      <c r="AB226" s="33"/>
      <c r="AC226" s="83"/>
      <c r="AD226" s="33"/>
      <c r="AE226" s="83"/>
      <c r="AF226" s="33"/>
      <c r="AG226" s="244"/>
      <c r="AH226" s="83"/>
      <c r="AI226" s="246"/>
      <c r="AJ226" s="195"/>
      <c r="AK226" s="92"/>
      <c r="AL226" s="91"/>
      <c r="AM226" s="92"/>
      <c r="AN226" s="351"/>
      <c r="AO226" s="197">
        <f t="shared" si="15"/>
        <v>0</v>
      </c>
      <c r="AP226" s="91"/>
      <c r="AQ226" s="217"/>
      <c r="AR226" s="196"/>
      <c r="AS226" s="265"/>
      <c r="AT226" s="94"/>
      <c r="AU226" s="84"/>
      <c r="AV226" s="136"/>
      <c r="AW226" s="81"/>
      <c r="AX226" s="137"/>
      <c r="AY226" s="138"/>
      <c r="AZ226" s="220">
        <f t="shared" si="12"/>
        <v>0</v>
      </c>
      <c r="BA226" s="220">
        <f t="shared" si="13"/>
        <v>0</v>
      </c>
    </row>
    <row r="227" spans="1:53" ht="50.1" customHeight="1" x14ac:dyDescent="0.25">
      <c r="A227" s="17">
        <f t="shared" si="14"/>
        <v>213</v>
      </c>
      <c r="B227" s="228"/>
      <c r="C227" s="221"/>
      <c r="D227" s="88"/>
      <c r="E227" s="100"/>
      <c r="F227" s="95"/>
      <c r="G227" s="114"/>
      <c r="H227" s="96"/>
      <c r="I227" s="97"/>
      <c r="J227" s="98"/>
      <c r="K227" s="101"/>
      <c r="L227" s="124"/>
      <c r="M227" s="333"/>
      <c r="N227" s="341"/>
      <c r="O227" s="190"/>
      <c r="P227" s="191"/>
      <c r="Q227" s="190"/>
      <c r="R227" s="191"/>
      <c r="S227" s="294"/>
      <c r="T227" s="300"/>
      <c r="U227" s="306"/>
      <c r="V227" s="308"/>
      <c r="W227" s="248"/>
      <c r="X227" s="342"/>
      <c r="Y227" s="337"/>
      <c r="Z227" s="123"/>
      <c r="AA227" s="83"/>
      <c r="AB227" s="123"/>
      <c r="AC227" s="83"/>
      <c r="AD227" s="123"/>
      <c r="AE227" s="83"/>
      <c r="AF227" s="123"/>
      <c r="AG227" s="243"/>
      <c r="AH227" s="33"/>
      <c r="AI227" s="245"/>
      <c r="AJ227" s="198"/>
      <c r="AK227" s="92"/>
      <c r="AL227" s="126"/>
      <c r="AM227" s="91"/>
      <c r="AN227" s="91"/>
      <c r="AO227" s="197">
        <f t="shared" si="15"/>
        <v>0</v>
      </c>
      <c r="AP227" s="126"/>
      <c r="AQ227" s="217"/>
      <c r="AR227" s="201"/>
      <c r="AS227" s="266"/>
      <c r="AT227" s="94"/>
      <c r="AU227" s="84"/>
      <c r="AV227" s="80"/>
      <c r="AW227" s="81"/>
      <c r="AX227" s="77"/>
      <c r="AY227" s="107"/>
      <c r="AZ227" s="220">
        <f t="shared" si="12"/>
        <v>0</v>
      </c>
      <c r="BA227" s="220">
        <f t="shared" si="13"/>
        <v>0</v>
      </c>
    </row>
    <row r="228" spans="1:53" ht="50.1" customHeight="1" x14ac:dyDescent="0.25">
      <c r="A228" s="17">
        <f t="shared" si="14"/>
        <v>214</v>
      </c>
      <c r="B228" s="229"/>
      <c r="C228" s="222"/>
      <c r="D228" s="112"/>
      <c r="E228" s="128"/>
      <c r="F228" s="183"/>
      <c r="G228" s="130"/>
      <c r="H228" s="131"/>
      <c r="I228" s="132"/>
      <c r="J228" s="189"/>
      <c r="K228" s="133"/>
      <c r="L228" s="134"/>
      <c r="M228" s="334"/>
      <c r="N228" s="343"/>
      <c r="O228" s="193"/>
      <c r="P228" s="191"/>
      <c r="Q228" s="193"/>
      <c r="R228" s="191"/>
      <c r="S228" s="296"/>
      <c r="T228" s="302"/>
      <c r="U228" s="306"/>
      <c r="V228" s="308"/>
      <c r="W228" s="249"/>
      <c r="X228" s="344"/>
      <c r="Y228" s="337"/>
      <c r="Z228" s="33"/>
      <c r="AA228" s="83"/>
      <c r="AB228" s="33"/>
      <c r="AC228" s="83"/>
      <c r="AD228" s="33"/>
      <c r="AE228" s="83"/>
      <c r="AF228" s="33"/>
      <c r="AG228" s="244"/>
      <c r="AH228" s="83"/>
      <c r="AI228" s="246"/>
      <c r="AJ228" s="195"/>
      <c r="AK228" s="92"/>
      <c r="AL228" s="91"/>
      <c r="AM228" s="92"/>
      <c r="AN228" s="351"/>
      <c r="AO228" s="197">
        <f t="shared" si="15"/>
        <v>0</v>
      </c>
      <c r="AP228" s="91"/>
      <c r="AQ228" s="217"/>
      <c r="AR228" s="196"/>
      <c r="AS228" s="265"/>
      <c r="AT228" s="94"/>
      <c r="AU228" s="84"/>
      <c r="AV228" s="136"/>
      <c r="AW228" s="81"/>
      <c r="AX228" s="137"/>
      <c r="AY228" s="138"/>
      <c r="AZ228" s="220">
        <f t="shared" si="12"/>
        <v>0</v>
      </c>
      <c r="BA228" s="220">
        <f t="shared" si="13"/>
        <v>0</v>
      </c>
    </row>
    <row r="229" spans="1:53" ht="50.1" customHeight="1" x14ac:dyDescent="0.25">
      <c r="A229" s="17">
        <f t="shared" si="14"/>
        <v>215</v>
      </c>
      <c r="B229" s="228"/>
      <c r="C229" s="221"/>
      <c r="D229" s="88"/>
      <c r="E229" s="100"/>
      <c r="F229" s="95"/>
      <c r="G229" s="114"/>
      <c r="H229" s="96"/>
      <c r="I229" s="97"/>
      <c r="J229" s="98"/>
      <c r="K229" s="101"/>
      <c r="L229" s="124"/>
      <c r="M229" s="333"/>
      <c r="N229" s="341"/>
      <c r="O229" s="190"/>
      <c r="P229" s="191"/>
      <c r="Q229" s="190"/>
      <c r="R229" s="191"/>
      <c r="S229" s="294"/>
      <c r="T229" s="300"/>
      <c r="U229" s="306"/>
      <c r="V229" s="308"/>
      <c r="W229" s="248"/>
      <c r="X229" s="342"/>
      <c r="Y229" s="337"/>
      <c r="Z229" s="123"/>
      <c r="AA229" s="83"/>
      <c r="AB229" s="123"/>
      <c r="AC229" s="83"/>
      <c r="AD229" s="123"/>
      <c r="AE229" s="83"/>
      <c r="AF229" s="123"/>
      <c r="AG229" s="243"/>
      <c r="AH229" s="33"/>
      <c r="AI229" s="245"/>
      <c r="AJ229" s="125"/>
      <c r="AK229" s="92"/>
      <c r="AL229" s="126"/>
      <c r="AM229" s="91"/>
      <c r="AN229" s="91"/>
      <c r="AO229" s="197">
        <f t="shared" si="15"/>
        <v>0</v>
      </c>
      <c r="AP229" s="126"/>
      <c r="AQ229" s="217"/>
      <c r="AR229" s="201"/>
      <c r="AS229" s="266"/>
      <c r="AT229" s="94"/>
      <c r="AU229" s="84"/>
      <c r="AV229" s="80"/>
      <c r="AW229" s="81"/>
      <c r="AX229" s="77"/>
      <c r="AY229" s="107"/>
      <c r="AZ229" s="220">
        <f t="shared" si="12"/>
        <v>0</v>
      </c>
      <c r="BA229" s="220">
        <f t="shared" si="13"/>
        <v>0</v>
      </c>
    </row>
    <row r="230" spans="1:53" ht="50.1" customHeight="1" x14ac:dyDescent="0.25">
      <c r="A230" s="17">
        <f t="shared" si="14"/>
        <v>216</v>
      </c>
      <c r="B230" s="229"/>
      <c r="C230" s="222"/>
      <c r="D230" s="112"/>
      <c r="E230" s="128"/>
      <c r="F230" s="183"/>
      <c r="G230" s="130"/>
      <c r="H230" s="131"/>
      <c r="I230" s="132"/>
      <c r="J230" s="189"/>
      <c r="K230" s="133"/>
      <c r="L230" s="134"/>
      <c r="M230" s="334"/>
      <c r="N230" s="343"/>
      <c r="O230" s="192"/>
      <c r="P230" s="191"/>
      <c r="Q230" s="192"/>
      <c r="R230" s="191"/>
      <c r="S230" s="295"/>
      <c r="T230" s="301"/>
      <c r="U230" s="306"/>
      <c r="V230" s="308"/>
      <c r="W230" s="249"/>
      <c r="X230" s="344"/>
      <c r="Y230" s="337"/>
      <c r="Z230" s="33"/>
      <c r="AA230" s="83"/>
      <c r="AB230" s="33"/>
      <c r="AC230" s="83"/>
      <c r="AD230" s="33"/>
      <c r="AE230" s="83"/>
      <c r="AF230" s="33"/>
      <c r="AG230" s="244"/>
      <c r="AH230" s="83"/>
      <c r="AI230" s="246"/>
      <c r="AJ230" s="102"/>
      <c r="AK230" s="92"/>
      <c r="AL230" s="91"/>
      <c r="AM230" s="92"/>
      <c r="AN230" s="351"/>
      <c r="AO230" s="197">
        <f t="shared" si="15"/>
        <v>0</v>
      </c>
      <c r="AP230" s="91"/>
      <c r="AQ230" s="217"/>
      <c r="AR230" s="196"/>
      <c r="AS230" s="265"/>
      <c r="AT230" s="94"/>
      <c r="AU230" s="84"/>
      <c r="AV230" s="136"/>
      <c r="AW230" s="81"/>
      <c r="AX230" s="137"/>
      <c r="AY230" s="138"/>
      <c r="AZ230" s="220">
        <f t="shared" si="12"/>
        <v>0</v>
      </c>
      <c r="BA230" s="220">
        <f t="shared" si="13"/>
        <v>0</v>
      </c>
    </row>
    <row r="231" spans="1:53" ht="50.1" customHeight="1" x14ac:dyDescent="0.25">
      <c r="A231" s="17">
        <f t="shared" si="14"/>
        <v>217</v>
      </c>
      <c r="B231" s="228"/>
      <c r="C231" s="221"/>
      <c r="D231" s="88"/>
      <c r="E231" s="100"/>
      <c r="F231" s="95"/>
      <c r="G231" s="114"/>
      <c r="H231" s="96"/>
      <c r="I231" s="97"/>
      <c r="J231" s="98"/>
      <c r="K231" s="101"/>
      <c r="L231" s="124"/>
      <c r="M231" s="333"/>
      <c r="N231" s="341"/>
      <c r="O231" s="190"/>
      <c r="P231" s="191"/>
      <c r="Q231" s="190"/>
      <c r="R231" s="191"/>
      <c r="S231" s="294"/>
      <c r="T231" s="300"/>
      <c r="U231" s="306"/>
      <c r="V231" s="308"/>
      <c r="W231" s="248"/>
      <c r="X231" s="342"/>
      <c r="Y231" s="337"/>
      <c r="Z231" s="123"/>
      <c r="AA231" s="83"/>
      <c r="AB231" s="123"/>
      <c r="AC231" s="83"/>
      <c r="AD231" s="123"/>
      <c r="AE231" s="83"/>
      <c r="AF231" s="123"/>
      <c r="AG231" s="243"/>
      <c r="AH231" s="33"/>
      <c r="AI231" s="245"/>
      <c r="AJ231" s="125"/>
      <c r="AK231" s="92"/>
      <c r="AL231" s="126"/>
      <c r="AM231" s="91"/>
      <c r="AN231" s="91"/>
      <c r="AO231" s="197">
        <f t="shared" si="15"/>
        <v>0</v>
      </c>
      <c r="AP231" s="126"/>
      <c r="AQ231" s="217"/>
      <c r="AR231" s="201"/>
      <c r="AS231" s="266"/>
      <c r="AT231" s="94"/>
      <c r="AU231" s="84"/>
      <c r="AV231" s="80"/>
      <c r="AW231" s="81"/>
      <c r="AX231" s="77"/>
      <c r="AY231" s="107"/>
      <c r="AZ231" s="220">
        <f t="shared" si="12"/>
        <v>0</v>
      </c>
      <c r="BA231" s="220">
        <f t="shared" si="13"/>
        <v>0</v>
      </c>
    </row>
    <row r="232" spans="1:53" ht="50.1" customHeight="1" x14ac:dyDescent="0.25">
      <c r="A232" s="17">
        <f t="shared" si="14"/>
        <v>218</v>
      </c>
      <c r="B232" s="229"/>
      <c r="C232" s="222"/>
      <c r="D232" s="112"/>
      <c r="E232" s="128"/>
      <c r="F232" s="183"/>
      <c r="G232" s="130"/>
      <c r="H232" s="131"/>
      <c r="I232" s="132"/>
      <c r="J232" s="189"/>
      <c r="K232" s="133"/>
      <c r="L232" s="134"/>
      <c r="M232" s="334"/>
      <c r="N232" s="343"/>
      <c r="O232" s="193"/>
      <c r="P232" s="191"/>
      <c r="Q232" s="193"/>
      <c r="R232" s="191"/>
      <c r="S232" s="296"/>
      <c r="T232" s="302"/>
      <c r="U232" s="306"/>
      <c r="V232" s="308"/>
      <c r="W232" s="249"/>
      <c r="X232" s="344"/>
      <c r="Y232" s="337"/>
      <c r="Z232" s="33"/>
      <c r="AA232" s="83"/>
      <c r="AB232" s="33"/>
      <c r="AC232" s="83"/>
      <c r="AD232" s="33"/>
      <c r="AE232" s="83"/>
      <c r="AF232" s="33"/>
      <c r="AG232" s="244"/>
      <c r="AH232" s="83"/>
      <c r="AI232" s="246"/>
      <c r="AJ232" s="102"/>
      <c r="AK232" s="92"/>
      <c r="AL232" s="91"/>
      <c r="AM232" s="92"/>
      <c r="AN232" s="351"/>
      <c r="AO232" s="197">
        <f t="shared" si="15"/>
        <v>0</v>
      </c>
      <c r="AP232" s="91"/>
      <c r="AQ232" s="217"/>
      <c r="AR232" s="196"/>
      <c r="AS232" s="265"/>
      <c r="AT232" s="94"/>
      <c r="AU232" s="84"/>
      <c r="AV232" s="136"/>
      <c r="AW232" s="81"/>
      <c r="AX232" s="137"/>
      <c r="AY232" s="138"/>
      <c r="AZ232" s="220">
        <f t="shared" si="12"/>
        <v>0</v>
      </c>
      <c r="BA232" s="220">
        <f t="shared" si="13"/>
        <v>0</v>
      </c>
    </row>
    <row r="233" spans="1:53" ht="50.1" customHeight="1" x14ac:dyDescent="0.25">
      <c r="A233" s="17">
        <f t="shared" si="14"/>
        <v>219</v>
      </c>
      <c r="B233" s="228"/>
      <c r="C233" s="221"/>
      <c r="D233" s="88"/>
      <c r="E233" s="100"/>
      <c r="F233" s="95"/>
      <c r="G233" s="290"/>
      <c r="H233" s="96"/>
      <c r="I233" s="97"/>
      <c r="J233" s="98"/>
      <c r="K233" s="101"/>
      <c r="L233" s="124"/>
      <c r="M233" s="333"/>
      <c r="N233" s="341"/>
      <c r="O233" s="190"/>
      <c r="P233" s="191"/>
      <c r="Q233" s="190"/>
      <c r="R233" s="191"/>
      <c r="S233" s="294"/>
      <c r="T233" s="300"/>
      <c r="U233" s="306"/>
      <c r="V233" s="308"/>
      <c r="W233" s="248"/>
      <c r="X233" s="342"/>
      <c r="Y233" s="337"/>
      <c r="Z233" s="123"/>
      <c r="AA233" s="83"/>
      <c r="AB233" s="123"/>
      <c r="AC233" s="83"/>
      <c r="AD233" s="123"/>
      <c r="AE233" s="83"/>
      <c r="AF233" s="123"/>
      <c r="AG233" s="243"/>
      <c r="AH233" s="33"/>
      <c r="AI233" s="245"/>
      <c r="AJ233" s="125"/>
      <c r="AK233" s="92"/>
      <c r="AL233" s="126"/>
      <c r="AM233" s="91"/>
      <c r="AN233" s="91"/>
      <c r="AO233" s="197">
        <f t="shared" si="15"/>
        <v>0</v>
      </c>
      <c r="AP233" s="126"/>
      <c r="AQ233" s="217"/>
      <c r="AR233" s="201"/>
      <c r="AS233" s="266"/>
      <c r="AT233" s="94"/>
      <c r="AU233" s="84"/>
      <c r="AV233" s="80"/>
      <c r="AW233" s="81"/>
      <c r="AX233" s="77"/>
      <c r="AY233" s="107"/>
      <c r="AZ233" s="220">
        <f t="shared" si="12"/>
        <v>0</v>
      </c>
      <c r="BA233" s="220">
        <f t="shared" si="13"/>
        <v>0</v>
      </c>
    </row>
    <row r="234" spans="1:53" ht="50.1" customHeight="1" x14ac:dyDescent="0.25">
      <c r="A234" s="17">
        <f t="shared" si="14"/>
        <v>220</v>
      </c>
      <c r="B234" s="229"/>
      <c r="C234" s="222"/>
      <c r="D234" s="112"/>
      <c r="E234" s="128"/>
      <c r="F234" s="183"/>
      <c r="G234" s="130"/>
      <c r="H234" s="131"/>
      <c r="I234" s="132"/>
      <c r="J234" s="189"/>
      <c r="K234" s="133"/>
      <c r="L234" s="134"/>
      <c r="M234" s="334"/>
      <c r="N234" s="343"/>
      <c r="O234" s="192"/>
      <c r="P234" s="191"/>
      <c r="Q234" s="192"/>
      <c r="R234" s="191"/>
      <c r="S234" s="295"/>
      <c r="T234" s="301"/>
      <c r="U234" s="306"/>
      <c r="V234" s="308"/>
      <c r="W234" s="249"/>
      <c r="X234" s="344"/>
      <c r="Y234" s="337"/>
      <c r="Z234" s="33"/>
      <c r="AA234" s="83"/>
      <c r="AB234" s="33"/>
      <c r="AC234" s="83"/>
      <c r="AD234" s="33"/>
      <c r="AE234" s="83"/>
      <c r="AF234" s="33"/>
      <c r="AG234" s="244"/>
      <c r="AH234" s="83"/>
      <c r="AI234" s="246"/>
      <c r="AJ234" s="102"/>
      <c r="AK234" s="92"/>
      <c r="AL234" s="91"/>
      <c r="AM234" s="92"/>
      <c r="AN234" s="351"/>
      <c r="AO234" s="197">
        <f t="shared" si="15"/>
        <v>0</v>
      </c>
      <c r="AP234" s="91"/>
      <c r="AQ234" s="217"/>
      <c r="AR234" s="196"/>
      <c r="AS234" s="265"/>
      <c r="AT234" s="94"/>
      <c r="AU234" s="84"/>
      <c r="AV234" s="136"/>
      <c r="AW234" s="81"/>
      <c r="AX234" s="137"/>
      <c r="AY234" s="138"/>
      <c r="AZ234" s="220">
        <f t="shared" si="12"/>
        <v>0</v>
      </c>
      <c r="BA234" s="220">
        <f t="shared" si="13"/>
        <v>0</v>
      </c>
    </row>
    <row r="235" spans="1:53" ht="50.1" customHeight="1" x14ac:dyDescent="0.25">
      <c r="A235" s="17">
        <f t="shared" si="14"/>
        <v>221</v>
      </c>
      <c r="B235" s="228"/>
      <c r="C235" s="221"/>
      <c r="D235" s="88"/>
      <c r="E235" s="100"/>
      <c r="F235" s="95"/>
      <c r="G235" s="114"/>
      <c r="H235" s="96"/>
      <c r="I235" s="97"/>
      <c r="J235" s="98"/>
      <c r="K235" s="101"/>
      <c r="L235" s="124"/>
      <c r="M235" s="333"/>
      <c r="N235" s="341"/>
      <c r="O235" s="190"/>
      <c r="P235" s="191"/>
      <c r="Q235" s="190"/>
      <c r="R235" s="191"/>
      <c r="S235" s="294"/>
      <c r="T235" s="300"/>
      <c r="U235" s="306"/>
      <c r="V235" s="308"/>
      <c r="W235" s="248"/>
      <c r="X235" s="342"/>
      <c r="Y235" s="337"/>
      <c r="Z235" s="123"/>
      <c r="AA235" s="83"/>
      <c r="AB235" s="123"/>
      <c r="AC235" s="83"/>
      <c r="AD235" s="123"/>
      <c r="AE235" s="83"/>
      <c r="AF235" s="123"/>
      <c r="AG235" s="243"/>
      <c r="AH235" s="33"/>
      <c r="AI235" s="245"/>
      <c r="AJ235" s="125"/>
      <c r="AK235" s="92"/>
      <c r="AL235" s="126"/>
      <c r="AM235" s="91"/>
      <c r="AN235" s="91"/>
      <c r="AO235" s="197">
        <f t="shared" si="15"/>
        <v>0</v>
      </c>
      <c r="AP235" s="126"/>
      <c r="AQ235" s="217"/>
      <c r="AR235" s="201"/>
      <c r="AS235" s="266"/>
      <c r="AT235" s="94"/>
      <c r="AU235" s="84"/>
      <c r="AV235" s="80"/>
      <c r="AW235" s="81"/>
      <c r="AX235" s="77"/>
      <c r="AY235" s="107"/>
      <c r="AZ235" s="220">
        <f t="shared" si="12"/>
        <v>0</v>
      </c>
      <c r="BA235" s="220">
        <f t="shared" si="13"/>
        <v>0</v>
      </c>
    </row>
    <row r="236" spans="1:53" ht="50.1" customHeight="1" x14ac:dyDescent="0.25">
      <c r="A236" s="17">
        <f t="shared" si="14"/>
        <v>222</v>
      </c>
      <c r="B236" s="229"/>
      <c r="C236" s="222"/>
      <c r="D236" s="112"/>
      <c r="E236" s="128"/>
      <c r="F236" s="183"/>
      <c r="G236" s="130"/>
      <c r="H236" s="131"/>
      <c r="I236" s="132"/>
      <c r="J236" s="189"/>
      <c r="K236" s="133"/>
      <c r="L236" s="134"/>
      <c r="M236" s="334"/>
      <c r="N236" s="343"/>
      <c r="O236" s="192"/>
      <c r="P236" s="191"/>
      <c r="Q236" s="192"/>
      <c r="R236" s="191"/>
      <c r="S236" s="295"/>
      <c r="T236" s="301"/>
      <c r="U236" s="306"/>
      <c r="V236" s="308"/>
      <c r="W236" s="249"/>
      <c r="X236" s="344"/>
      <c r="Y236" s="337"/>
      <c r="Z236" s="33"/>
      <c r="AA236" s="83"/>
      <c r="AB236" s="33"/>
      <c r="AC236" s="83"/>
      <c r="AD236" s="33"/>
      <c r="AE236" s="83"/>
      <c r="AF236" s="33"/>
      <c r="AG236" s="244"/>
      <c r="AH236" s="83"/>
      <c r="AI236" s="246"/>
      <c r="AJ236" s="102"/>
      <c r="AK236" s="92"/>
      <c r="AL236" s="91"/>
      <c r="AM236" s="92"/>
      <c r="AN236" s="351"/>
      <c r="AO236" s="197">
        <f t="shared" si="15"/>
        <v>0</v>
      </c>
      <c r="AP236" s="91"/>
      <c r="AQ236" s="217"/>
      <c r="AR236" s="196"/>
      <c r="AS236" s="265"/>
      <c r="AT236" s="94"/>
      <c r="AU236" s="84"/>
      <c r="AV236" s="136"/>
      <c r="AW236" s="81"/>
      <c r="AX236" s="137"/>
      <c r="AY236" s="138"/>
      <c r="AZ236" s="220">
        <f t="shared" si="12"/>
        <v>0</v>
      </c>
      <c r="BA236" s="220">
        <f t="shared" si="13"/>
        <v>0</v>
      </c>
    </row>
    <row r="237" spans="1:53" ht="50.1" customHeight="1" x14ac:dyDescent="0.25">
      <c r="A237" s="17">
        <f t="shared" si="14"/>
        <v>223</v>
      </c>
      <c r="B237" s="228"/>
      <c r="C237" s="221"/>
      <c r="D237" s="88"/>
      <c r="E237" s="100"/>
      <c r="F237" s="95"/>
      <c r="G237" s="114"/>
      <c r="H237" s="96"/>
      <c r="I237" s="97"/>
      <c r="J237" s="98"/>
      <c r="K237" s="101"/>
      <c r="L237" s="124"/>
      <c r="M237" s="333"/>
      <c r="N237" s="341"/>
      <c r="O237" s="190"/>
      <c r="P237" s="191"/>
      <c r="Q237" s="190"/>
      <c r="R237" s="191"/>
      <c r="S237" s="294"/>
      <c r="T237" s="300"/>
      <c r="U237" s="306"/>
      <c r="V237" s="308"/>
      <c r="W237" s="248"/>
      <c r="X237" s="342"/>
      <c r="Y237" s="337"/>
      <c r="Z237" s="123"/>
      <c r="AA237" s="83"/>
      <c r="AB237" s="123"/>
      <c r="AC237" s="83"/>
      <c r="AD237" s="123"/>
      <c r="AE237" s="83"/>
      <c r="AF237" s="123"/>
      <c r="AG237" s="243"/>
      <c r="AH237" s="33"/>
      <c r="AI237" s="245"/>
      <c r="AJ237" s="125"/>
      <c r="AK237" s="92"/>
      <c r="AL237" s="126"/>
      <c r="AM237" s="91"/>
      <c r="AN237" s="91"/>
      <c r="AO237" s="197">
        <f t="shared" si="15"/>
        <v>0</v>
      </c>
      <c r="AP237" s="126"/>
      <c r="AQ237" s="217"/>
      <c r="AR237" s="201"/>
      <c r="AS237" s="266"/>
      <c r="AT237" s="94"/>
      <c r="AU237" s="84"/>
      <c r="AV237" s="80"/>
      <c r="AW237" s="81"/>
      <c r="AX237" s="77"/>
      <c r="AY237" s="107"/>
      <c r="AZ237" s="220">
        <f t="shared" si="12"/>
        <v>0</v>
      </c>
      <c r="BA237" s="220">
        <f t="shared" si="13"/>
        <v>0</v>
      </c>
    </row>
    <row r="238" spans="1:53" ht="50.1" customHeight="1" x14ac:dyDescent="0.25">
      <c r="A238" s="17">
        <f t="shared" si="14"/>
        <v>224</v>
      </c>
      <c r="B238" s="229"/>
      <c r="C238" s="222"/>
      <c r="D238" s="112"/>
      <c r="E238" s="128"/>
      <c r="F238" s="183"/>
      <c r="G238" s="130"/>
      <c r="H238" s="131"/>
      <c r="I238" s="132"/>
      <c r="J238" s="189"/>
      <c r="K238" s="133"/>
      <c r="L238" s="134"/>
      <c r="M238" s="334"/>
      <c r="N238" s="343"/>
      <c r="O238" s="193"/>
      <c r="P238" s="191"/>
      <c r="Q238" s="193"/>
      <c r="R238" s="191"/>
      <c r="S238" s="296"/>
      <c r="T238" s="302"/>
      <c r="U238" s="306"/>
      <c r="V238" s="308"/>
      <c r="W238" s="249"/>
      <c r="X238" s="344"/>
      <c r="Y238" s="337"/>
      <c r="Z238" s="33"/>
      <c r="AA238" s="83"/>
      <c r="AB238" s="33"/>
      <c r="AC238" s="83"/>
      <c r="AD238" s="33"/>
      <c r="AE238" s="83"/>
      <c r="AF238" s="33"/>
      <c r="AG238" s="244"/>
      <c r="AH238" s="83"/>
      <c r="AI238" s="246"/>
      <c r="AJ238" s="102"/>
      <c r="AK238" s="92"/>
      <c r="AL238" s="91"/>
      <c r="AM238" s="92"/>
      <c r="AN238" s="351"/>
      <c r="AO238" s="197">
        <f t="shared" si="15"/>
        <v>0</v>
      </c>
      <c r="AP238" s="91"/>
      <c r="AQ238" s="217"/>
      <c r="AR238" s="196"/>
      <c r="AS238" s="265"/>
      <c r="AT238" s="94"/>
      <c r="AU238" s="84"/>
      <c r="AV238" s="136"/>
      <c r="AW238" s="81"/>
      <c r="AX238" s="137"/>
      <c r="AY238" s="138"/>
      <c r="AZ238" s="220">
        <f t="shared" si="12"/>
        <v>0</v>
      </c>
      <c r="BA238" s="220">
        <f t="shared" si="13"/>
        <v>0</v>
      </c>
    </row>
    <row r="239" spans="1:53" ht="50.1" customHeight="1" x14ac:dyDescent="0.25">
      <c r="A239" s="17">
        <f t="shared" si="14"/>
        <v>225</v>
      </c>
      <c r="B239" s="228"/>
      <c r="C239" s="221"/>
      <c r="D239" s="88"/>
      <c r="E239" s="100"/>
      <c r="F239" s="95"/>
      <c r="G239" s="114"/>
      <c r="H239" s="96"/>
      <c r="I239" s="97"/>
      <c r="J239" s="98"/>
      <c r="K239" s="101"/>
      <c r="L239" s="124"/>
      <c r="M239" s="333"/>
      <c r="N239" s="341"/>
      <c r="O239" s="190"/>
      <c r="P239" s="191"/>
      <c r="Q239" s="190"/>
      <c r="R239" s="191"/>
      <c r="S239" s="294"/>
      <c r="T239" s="300"/>
      <c r="U239" s="306"/>
      <c r="V239" s="308"/>
      <c r="W239" s="248"/>
      <c r="X239" s="342"/>
      <c r="Y239" s="337"/>
      <c r="Z239" s="123"/>
      <c r="AA239" s="83"/>
      <c r="AB239" s="123"/>
      <c r="AC239" s="83"/>
      <c r="AD239" s="123"/>
      <c r="AE239" s="83"/>
      <c r="AF239" s="123"/>
      <c r="AG239" s="243"/>
      <c r="AH239" s="33"/>
      <c r="AI239" s="245"/>
      <c r="AJ239" s="125"/>
      <c r="AK239" s="92"/>
      <c r="AL239" s="126"/>
      <c r="AM239" s="91"/>
      <c r="AN239" s="91"/>
      <c r="AO239" s="197">
        <f t="shared" si="15"/>
        <v>0</v>
      </c>
      <c r="AP239" s="126"/>
      <c r="AQ239" s="217"/>
      <c r="AR239" s="201"/>
      <c r="AS239" s="266"/>
      <c r="AT239" s="94"/>
      <c r="AU239" s="84"/>
      <c r="AV239" s="80"/>
      <c r="AW239" s="81"/>
      <c r="AX239" s="77"/>
      <c r="AY239" s="107"/>
      <c r="AZ239" s="220">
        <f t="shared" si="12"/>
        <v>0</v>
      </c>
      <c r="BA239" s="220">
        <f t="shared" si="13"/>
        <v>0</v>
      </c>
    </row>
    <row r="240" spans="1:53" ht="50.1" customHeight="1" x14ac:dyDescent="0.25">
      <c r="A240" s="17">
        <f t="shared" si="14"/>
        <v>226</v>
      </c>
      <c r="B240" s="229"/>
      <c r="C240" s="222"/>
      <c r="D240" s="112"/>
      <c r="E240" s="128"/>
      <c r="F240" s="183"/>
      <c r="G240" s="130"/>
      <c r="H240" s="131"/>
      <c r="I240" s="132"/>
      <c r="J240" s="189"/>
      <c r="K240" s="133"/>
      <c r="L240" s="134"/>
      <c r="M240" s="334"/>
      <c r="N240" s="343"/>
      <c r="O240" s="192"/>
      <c r="P240" s="191"/>
      <c r="Q240" s="192"/>
      <c r="R240" s="191"/>
      <c r="S240" s="295"/>
      <c r="T240" s="301"/>
      <c r="U240" s="306"/>
      <c r="V240" s="308"/>
      <c r="W240" s="249"/>
      <c r="X240" s="344"/>
      <c r="Y240" s="337"/>
      <c r="Z240" s="33"/>
      <c r="AA240" s="83"/>
      <c r="AB240" s="33"/>
      <c r="AC240" s="83"/>
      <c r="AD240" s="33"/>
      <c r="AE240" s="83"/>
      <c r="AF240" s="33"/>
      <c r="AG240" s="244"/>
      <c r="AH240" s="83"/>
      <c r="AI240" s="246"/>
      <c r="AJ240" s="102"/>
      <c r="AK240" s="92"/>
      <c r="AL240" s="91"/>
      <c r="AM240" s="92"/>
      <c r="AN240" s="351"/>
      <c r="AO240" s="197">
        <f t="shared" si="15"/>
        <v>0</v>
      </c>
      <c r="AP240" s="91"/>
      <c r="AQ240" s="217"/>
      <c r="AR240" s="196"/>
      <c r="AS240" s="265"/>
      <c r="AT240" s="94"/>
      <c r="AU240" s="84"/>
      <c r="AV240" s="136"/>
      <c r="AW240" s="81"/>
      <c r="AX240" s="137"/>
      <c r="AY240" s="138"/>
      <c r="AZ240" s="220">
        <f t="shared" si="12"/>
        <v>0</v>
      </c>
      <c r="BA240" s="220">
        <f t="shared" si="13"/>
        <v>0</v>
      </c>
    </row>
    <row r="241" spans="1:53" ht="50.1" customHeight="1" x14ac:dyDescent="0.25">
      <c r="A241" s="17">
        <f t="shared" si="14"/>
        <v>227</v>
      </c>
      <c r="B241" s="228"/>
      <c r="C241" s="221"/>
      <c r="D241" s="88"/>
      <c r="E241" s="100"/>
      <c r="F241" s="95"/>
      <c r="G241" s="114"/>
      <c r="H241" s="96"/>
      <c r="I241" s="97"/>
      <c r="J241" s="98"/>
      <c r="K241" s="101"/>
      <c r="L241" s="124"/>
      <c r="M241" s="333"/>
      <c r="N241" s="341"/>
      <c r="O241" s="190"/>
      <c r="P241" s="191"/>
      <c r="Q241" s="190"/>
      <c r="R241" s="191"/>
      <c r="S241" s="294"/>
      <c r="T241" s="300"/>
      <c r="U241" s="306"/>
      <c r="V241" s="308"/>
      <c r="W241" s="248"/>
      <c r="X241" s="342"/>
      <c r="Y241" s="337"/>
      <c r="Z241" s="123"/>
      <c r="AA241" s="83"/>
      <c r="AB241" s="123"/>
      <c r="AC241" s="83"/>
      <c r="AD241" s="123"/>
      <c r="AE241" s="83"/>
      <c r="AF241" s="123"/>
      <c r="AG241" s="243"/>
      <c r="AH241" s="33"/>
      <c r="AI241" s="245"/>
      <c r="AJ241" s="125"/>
      <c r="AK241" s="92"/>
      <c r="AL241" s="126"/>
      <c r="AM241" s="91"/>
      <c r="AN241" s="91"/>
      <c r="AO241" s="197">
        <f t="shared" si="15"/>
        <v>0</v>
      </c>
      <c r="AP241" s="126"/>
      <c r="AQ241" s="217"/>
      <c r="AR241" s="201"/>
      <c r="AS241" s="266"/>
      <c r="AT241" s="94"/>
      <c r="AU241" s="84"/>
      <c r="AV241" s="80"/>
      <c r="AW241" s="81"/>
      <c r="AX241" s="77"/>
      <c r="AY241" s="107"/>
      <c r="AZ241" s="220">
        <f t="shared" si="12"/>
        <v>0</v>
      </c>
      <c r="BA241" s="220">
        <f t="shared" si="13"/>
        <v>0</v>
      </c>
    </row>
    <row r="242" spans="1:53" ht="50.1" customHeight="1" x14ac:dyDescent="0.25">
      <c r="A242" s="17">
        <f t="shared" si="14"/>
        <v>228</v>
      </c>
      <c r="B242" s="229"/>
      <c r="C242" s="222"/>
      <c r="D242" s="112"/>
      <c r="E242" s="128"/>
      <c r="F242" s="183"/>
      <c r="G242" s="130"/>
      <c r="H242" s="131"/>
      <c r="I242" s="132"/>
      <c r="J242" s="189"/>
      <c r="K242" s="133"/>
      <c r="L242" s="134"/>
      <c r="M242" s="334"/>
      <c r="N242" s="343"/>
      <c r="O242" s="192"/>
      <c r="P242" s="191"/>
      <c r="Q242" s="192"/>
      <c r="R242" s="191"/>
      <c r="S242" s="295"/>
      <c r="T242" s="301"/>
      <c r="U242" s="306"/>
      <c r="V242" s="308"/>
      <c r="W242" s="249"/>
      <c r="X242" s="344"/>
      <c r="Y242" s="337"/>
      <c r="Z242" s="33"/>
      <c r="AA242" s="83"/>
      <c r="AB242" s="33"/>
      <c r="AC242" s="83"/>
      <c r="AD242" s="33"/>
      <c r="AE242" s="83"/>
      <c r="AF242" s="33"/>
      <c r="AG242" s="244"/>
      <c r="AH242" s="83"/>
      <c r="AI242" s="246"/>
      <c r="AJ242" s="102"/>
      <c r="AK242" s="92"/>
      <c r="AL242" s="91"/>
      <c r="AM242" s="92"/>
      <c r="AN242" s="351"/>
      <c r="AO242" s="197">
        <f t="shared" si="15"/>
        <v>0</v>
      </c>
      <c r="AP242" s="91"/>
      <c r="AQ242" s="217"/>
      <c r="AR242" s="196"/>
      <c r="AS242" s="265"/>
      <c r="AT242" s="94"/>
      <c r="AU242" s="84"/>
      <c r="AV242" s="136"/>
      <c r="AW242" s="81"/>
      <c r="AX242" s="137"/>
      <c r="AY242" s="138"/>
      <c r="AZ242" s="220">
        <f t="shared" si="12"/>
        <v>0</v>
      </c>
      <c r="BA242" s="220">
        <f t="shared" si="13"/>
        <v>0</v>
      </c>
    </row>
    <row r="243" spans="1:53" ht="50.1" customHeight="1" x14ac:dyDescent="0.25">
      <c r="A243" s="17">
        <f t="shared" si="14"/>
        <v>229</v>
      </c>
      <c r="B243" s="228"/>
      <c r="C243" s="221"/>
      <c r="D243" s="88"/>
      <c r="E243" s="100"/>
      <c r="F243" s="95"/>
      <c r="G243" s="114"/>
      <c r="H243" s="96"/>
      <c r="I243" s="97"/>
      <c r="J243" s="98"/>
      <c r="K243" s="101"/>
      <c r="L243" s="124"/>
      <c r="M243" s="333"/>
      <c r="N243" s="341"/>
      <c r="O243" s="190"/>
      <c r="P243" s="191"/>
      <c r="Q243" s="190"/>
      <c r="R243" s="191"/>
      <c r="S243" s="294"/>
      <c r="T243" s="300"/>
      <c r="U243" s="306"/>
      <c r="V243" s="308"/>
      <c r="W243" s="248"/>
      <c r="X243" s="342"/>
      <c r="Y243" s="337"/>
      <c r="Z243" s="123"/>
      <c r="AA243" s="83"/>
      <c r="AB243" s="123"/>
      <c r="AC243" s="83"/>
      <c r="AD243" s="123"/>
      <c r="AE243" s="83"/>
      <c r="AF243" s="123"/>
      <c r="AG243" s="243"/>
      <c r="AH243" s="33"/>
      <c r="AI243" s="245"/>
      <c r="AJ243" s="198"/>
      <c r="AK243" s="92"/>
      <c r="AL243" s="126"/>
      <c r="AM243" s="91"/>
      <c r="AN243" s="91"/>
      <c r="AO243" s="197">
        <f t="shared" si="15"/>
        <v>0</v>
      </c>
      <c r="AP243" s="126"/>
      <c r="AQ243" s="217"/>
      <c r="AR243" s="201"/>
      <c r="AS243" s="266"/>
      <c r="AT243" s="94"/>
      <c r="AU243" s="84"/>
      <c r="AV243" s="80"/>
      <c r="AW243" s="81"/>
      <c r="AX243" s="77"/>
      <c r="AY243" s="107"/>
      <c r="AZ243" s="220">
        <f t="shared" si="12"/>
        <v>0</v>
      </c>
      <c r="BA243" s="220">
        <f t="shared" si="13"/>
        <v>0</v>
      </c>
    </row>
    <row r="244" spans="1:53" ht="50.1" customHeight="1" x14ac:dyDescent="0.25">
      <c r="A244" s="17">
        <f t="shared" si="14"/>
        <v>230</v>
      </c>
      <c r="B244" s="229"/>
      <c r="C244" s="222"/>
      <c r="D244" s="112"/>
      <c r="E244" s="128"/>
      <c r="F244" s="183"/>
      <c r="G244" s="130"/>
      <c r="H244" s="131"/>
      <c r="I244" s="132"/>
      <c r="J244" s="189"/>
      <c r="K244" s="133"/>
      <c r="L244" s="134"/>
      <c r="M244" s="334"/>
      <c r="N244" s="343"/>
      <c r="O244" s="192"/>
      <c r="P244" s="191"/>
      <c r="Q244" s="192"/>
      <c r="R244" s="191"/>
      <c r="S244" s="295"/>
      <c r="T244" s="301"/>
      <c r="U244" s="306"/>
      <c r="V244" s="308"/>
      <c r="W244" s="249"/>
      <c r="X244" s="344"/>
      <c r="Y244" s="337"/>
      <c r="Z244" s="33"/>
      <c r="AA244" s="83"/>
      <c r="AB244" s="33"/>
      <c r="AC244" s="83"/>
      <c r="AD244" s="33"/>
      <c r="AE244" s="83"/>
      <c r="AF244" s="33"/>
      <c r="AG244" s="244"/>
      <c r="AH244" s="83"/>
      <c r="AI244" s="246"/>
      <c r="AJ244" s="195"/>
      <c r="AK244" s="92"/>
      <c r="AL244" s="91"/>
      <c r="AM244" s="92"/>
      <c r="AN244" s="351"/>
      <c r="AO244" s="197">
        <f t="shared" si="15"/>
        <v>0</v>
      </c>
      <c r="AP244" s="91"/>
      <c r="AQ244" s="217"/>
      <c r="AR244" s="196"/>
      <c r="AS244" s="265"/>
      <c r="AT244" s="94"/>
      <c r="AU244" s="84"/>
      <c r="AV244" s="136"/>
      <c r="AW244" s="81"/>
      <c r="AX244" s="137"/>
      <c r="AY244" s="138"/>
      <c r="AZ244" s="220">
        <f t="shared" si="12"/>
        <v>0</v>
      </c>
      <c r="BA244" s="220">
        <f t="shared" si="13"/>
        <v>0</v>
      </c>
    </row>
    <row r="245" spans="1:53" ht="50.1" customHeight="1" x14ac:dyDescent="0.25">
      <c r="A245" s="17">
        <f t="shared" si="14"/>
        <v>231</v>
      </c>
      <c r="B245" s="228"/>
      <c r="C245" s="221"/>
      <c r="D245" s="88"/>
      <c r="E245" s="100"/>
      <c r="F245" s="95"/>
      <c r="G245" s="114"/>
      <c r="H245" s="96"/>
      <c r="I245" s="97"/>
      <c r="J245" s="98"/>
      <c r="K245" s="101"/>
      <c r="L245" s="124"/>
      <c r="M245" s="333"/>
      <c r="N245" s="341"/>
      <c r="O245" s="190"/>
      <c r="P245" s="191"/>
      <c r="Q245" s="190"/>
      <c r="R245" s="191"/>
      <c r="S245" s="294"/>
      <c r="T245" s="300"/>
      <c r="U245" s="306"/>
      <c r="V245" s="308"/>
      <c r="W245" s="248"/>
      <c r="X245" s="342"/>
      <c r="Y245" s="337"/>
      <c r="Z245" s="123"/>
      <c r="AA245" s="83"/>
      <c r="AB245" s="123"/>
      <c r="AC245" s="83"/>
      <c r="AD245" s="123"/>
      <c r="AE245" s="83"/>
      <c r="AF245" s="123"/>
      <c r="AG245" s="243"/>
      <c r="AH245" s="33"/>
      <c r="AI245" s="245"/>
      <c r="AJ245" s="125"/>
      <c r="AK245" s="92"/>
      <c r="AL245" s="126"/>
      <c r="AM245" s="91"/>
      <c r="AN245" s="91"/>
      <c r="AO245" s="197">
        <f t="shared" si="15"/>
        <v>0</v>
      </c>
      <c r="AP245" s="126"/>
      <c r="AQ245" s="217"/>
      <c r="AR245" s="201"/>
      <c r="AS245" s="266"/>
      <c r="AT245" s="94"/>
      <c r="AU245" s="84"/>
      <c r="AV245" s="80"/>
      <c r="AW245" s="81"/>
      <c r="AX245" s="77"/>
      <c r="AY245" s="107"/>
      <c r="AZ245" s="220">
        <f t="shared" si="12"/>
        <v>0</v>
      </c>
      <c r="BA245" s="220">
        <f t="shared" si="13"/>
        <v>0</v>
      </c>
    </row>
    <row r="246" spans="1:53" ht="50.1" customHeight="1" x14ac:dyDescent="0.25">
      <c r="A246" s="17">
        <f t="shared" si="14"/>
        <v>232</v>
      </c>
      <c r="B246" s="229"/>
      <c r="C246" s="222"/>
      <c r="D246" s="112"/>
      <c r="E246" s="128"/>
      <c r="F246" s="183"/>
      <c r="G246" s="130"/>
      <c r="H246" s="131"/>
      <c r="I246" s="132"/>
      <c r="J246" s="189"/>
      <c r="K246" s="133"/>
      <c r="L246" s="134"/>
      <c r="M246" s="334"/>
      <c r="N246" s="343"/>
      <c r="O246" s="192"/>
      <c r="P246" s="191"/>
      <c r="Q246" s="192"/>
      <c r="R246" s="191"/>
      <c r="S246" s="295"/>
      <c r="T246" s="301"/>
      <c r="U246" s="306"/>
      <c r="V246" s="308"/>
      <c r="W246" s="249"/>
      <c r="X246" s="344"/>
      <c r="Y246" s="337"/>
      <c r="Z246" s="33"/>
      <c r="AA246" s="83"/>
      <c r="AB246" s="33"/>
      <c r="AC246" s="83"/>
      <c r="AD246" s="33"/>
      <c r="AE246" s="83"/>
      <c r="AF246" s="33"/>
      <c r="AG246" s="244"/>
      <c r="AH246" s="83"/>
      <c r="AI246" s="246"/>
      <c r="AJ246" s="102"/>
      <c r="AK246" s="92"/>
      <c r="AL246" s="91"/>
      <c r="AM246" s="92"/>
      <c r="AN246" s="351"/>
      <c r="AO246" s="197">
        <f t="shared" si="15"/>
        <v>0</v>
      </c>
      <c r="AP246" s="91"/>
      <c r="AQ246" s="217"/>
      <c r="AR246" s="196"/>
      <c r="AS246" s="265"/>
      <c r="AT246" s="94"/>
      <c r="AU246" s="84"/>
      <c r="AV246" s="136"/>
      <c r="AW246" s="81"/>
      <c r="AX246" s="137"/>
      <c r="AY246" s="138"/>
      <c r="AZ246" s="220">
        <f t="shared" si="12"/>
        <v>0</v>
      </c>
      <c r="BA246" s="220">
        <f t="shared" si="13"/>
        <v>0</v>
      </c>
    </row>
    <row r="247" spans="1:53" ht="50.1" customHeight="1" x14ac:dyDescent="0.25">
      <c r="A247" s="17">
        <f t="shared" si="14"/>
        <v>233</v>
      </c>
      <c r="B247" s="228"/>
      <c r="C247" s="221"/>
      <c r="D247" s="88"/>
      <c r="E247" s="100"/>
      <c r="F247" s="95"/>
      <c r="G247" s="114"/>
      <c r="H247" s="96"/>
      <c r="I247" s="97"/>
      <c r="J247" s="98"/>
      <c r="K247" s="101"/>
      <c r="L247" s="124"/>
      <c r="M247" s="333"/>
      <c r="N247" s="341"/>
      <c r="O247" s="190"/>
      <c r="P247" s="191"/>
      <c r="Q247" s="190"/>
      <c r="R247" s="191"/>
      <c r="S247" s="294"/>
      <c r="T247" s="300"/>
      <c r="U247" s="306"/>
      <c r="V247" s="308"/>
      <c r="W247" s="248"/>
      <c r="X247" s="342"/>
      <c r="Y247" s="337"/>
      <c r="Z247" s="123"/>
      <c r="AA247" s="83"/>
      <c r="AB247" s="123"/>
      <c r="AC247" s="83"/>
      <c r="AD247" s="123"/>
      <c r="AE247" s="83"/>
      <c r="AF247" s="123"/>
      <c r="AG247" s="243"/>
      <c r="AH247" s="33"/>
      <c r="AI247" s="245"/>
      <c r="AJ247" s="125"/>
      <c r="AK247" s="92"/>
      <c r="AL247" s="126"/>
      <c r="AM247" s="91"/>
      <c r="AN247" s="91"/>
      <c r="AO247" s="197">
        <f t="shared" si="15"/>
        <v>0</v>
      </c>
      <c r="AP247" s="126"/>
      <c r="AQ247" s="217"/>
      <c r="AR247" s="201"/>
      <c r="AS247" s="266"/>
      <c r="AT247" s="94"/>
      <c r="AU247" s="84"/>
      <c r="AV247" s="80"/>
      <c r="AW247" s="81"/>
      <c r="AX247" s="77"/>
      <c r="AY247" s="107"/>
      <c r="AZ247" s="220">
        <f t="shared" si="12"/>
        <v>0</v>
      </c>
      <c r="BA247" s="220">
        <f t="shared" si="13"/>
        <v>0</v>
      </c>
    </row>
    <row r="248" spans="1:53" ht="50.1" customHeight="1" x14ac:dyDescent="0.25">
      <c r="A248" s="17">
        <f t="shared" si="14"/>
        <v>234</v>
      </c>
      <c r="B248" s="229"/>
      <c r="C248" s="222"/>
      <c r="D248" s="112"/>
      <c r="E248" s="128"/>
      <c r="F248" s="183"/>
      <c r="G248" s="130"/>
      <c r="H248" s="131"/>
      <c r="I248" s="132"/>
      <c r="J248" s="189"/>
      <c r="K248" s="133"/>
      <c r="L248" s="134"/>
      <c r="M248" s="334"/>
      <c r="N248" s="343"/>
      <c r="O248" s="192"/>
      <c r="P248" s="191"/>
      <c r="Q248" s="192"/>
      <c r="R248" s="191"/>
      <c r="S248" s="295"/>
      <c r="T248" s="301"/>
      <c r="U248" s="306"/>
      <c r="V248" s="308"/>
      <c r="W248" s="249"/>
      <c r="X248" s="344"/>
      <c r="Y248" s="337"/>
      <c r="Z248" s="33"/>
      <c r="AA248" s="83"/>
      <c r="AB248" s="33"/>
      <c r="AC248" s="83"/>
      <c r="AD248" s="33"/>
      <c r="AE248" s="83"/>
      <c r="AF248" s="33"/>
      <c r="AG248" s="244"/>
      <c r="AH248" s="83"/>
      <c r="AI248" s="246"/>
      <c r="AJ248" s="102"/>
      <c r="AK248" s="92"/>
      <c r="AL248" s="91"/>
      <c r="AM248" s="92"/>
      <c r="AN248" s="351"/>
      <c r="AO248" s="197">
        <f t="shared" si="15"/>
        <v>0</v>
      </c>
      <c r="AP248" s="91"/>
      <c r="AQ248" s="217"/>
      <c r="AR248" s="196"/>
      <c r="AS248" s="265"/>
      <c r="AT248" s="94"/>
      <c r="AU248" s="84"/>
      <c r="AV248" s="136"/>
      <c r="AW248" s="81"/>
      <c r="AX248" s="137"/>
      <c r="AY248" s="138"/>
      <c r="AZ248" s="220">
        <f t="shared" si="12"/>
        <v>0</v>
      </c>
      <c r="BA248" s="220">
        <f t="shared" si="13"/>
        <v>0</v>
      </c>
    </row>
    <row r="249" spans="1:53" ht="50.1" customHeight="1" x14ac:dyDescent="0.25">
      <c r="A249" s="17">
        <f t="shared" si="14"/>
        <v>235</v>
      </c>
      <c r="B249" s="228"/>
      <c r="C249" s="221"/>
      <c r="D249" s="88"/>
      <c r="E249" s="100"/>
      <c r="F249" s="95"/>
      <c r="G249" s="114"/>
      <c r="H249" s="96"/>
      <c r="I249" s="97"/>
      <c r="J249" s="98"/>
      <c r="K249" s="101"/>
      <c r="L249" s="124"/>
      <c r="M249" s="333"/>
      <c r="N249" s="341"/>
      <c r="O249" s="190"/>
      <c r="P249" s="191"/>
      <c r="Q249" s="190"/>
      <c r="R249" s="191"/>
      <c r="S249" s="294"/>
      <c r="T249" s="300"/>
      <c r="U249" s="306"/>
      <c r="V249" s="308"/>
      <c r="W249" s="248"/>
      <c r="X249" s="345"/>
      <c r="Y249" s="337"/>
      <c r="Z249" s="123"/>
      <c r="AA249" s="83"/>
      <c r="AB249" s="123"/>
      <c r="AC249" s="83"/>
      <c r="AD249" s="123"/>
      <c r="AE249" s="83"/>
      <c r="AF249" s="123"/>
      <c r="AG249" s="243"/>
      <c r="AH249" s="123"/>
      <c r="AI249" s="245"/>
      <c r="AJ249" s="125"/>
      <c r="AK249" s="92"/>
      <c r="AL249" s="126"/>
      <c r="AM249" s="91"/>
      <c r="AN249" s="91"/>
      <c r="AO249" s="197">
        <f t="shared" si="15"/>
        <v>0</v>
      </c>
      <c r="AP249" s="126"/>
      <c r="AQ249" s="217"/>
      <c r="AR249" s="201"/>
      <c r="AS249" s="266"/>
      <c r="AT249" s="94"/>
      <c r="AU249" s="84"/>
      <c r="AV249" s="80"/>
      <c r="AW249" s="81"/>
      <c r="AX249" s="77"/>
      <c r="AY249" s="107"/>
      <c r="AZ249" s="220">
        <f t="shared" si="12"/>
        <v>0</v>
      </c>
      <c r="BA249" s="220">
        <f t="shared" si="13"/>
        <v>0</v>
      </c>
    </row>
    <row r="250" spans="1:53" ht="50.1" customHeight="1" x14ac:dyDescent="0.25">
      <c r="A250" s="17">
        <f t="shared" si="14"/>
        <v>236</v>
      </c>
      <c r="B250" s="229"/>
      <c r="C250" s="222"/>
      <c r="D250" s="112"/>
      <c r="E250" s="128"/>
      <c r="F250" s="183"/>
      <c r="G250" s="130"/>
      <c r="H250" s="131"/>
      <c r="I250" s="132"/>
      <c r="J250" s="189"/>
      <c r="K250" s="133"/>
      <c r="L250" s="134"/>
      <c r="M250" s="334"/>
      <c r="N250" s="343"/>
      <c r="O250" s="192"/>
      <c r="P250" s="191"/>
      <c r="Q250" s="192"/>
      <c r="R250" s="191"/>
      <c r="S250" s="295"/>
      <c r="T250" s="301"/>
      <c r="U250" s="306"/>
      <c r="V250" s="308"/>
      <c r="W250" s="249"/>
      <c r="X250" s="344"/>
      <c r="Y250" s="337"/>
      <c r="Z250" s="33"/>
      <c r="AA250" s="83"/>
      <c r="AB250" s="33"/>
      <c r="AC250" s="83"/>
      <c r="AD250" s="33"/>
      <c r="AE250" s="83"/>
      <c r="AF250" s="33"/>
      <c r="AG250" s="244"/>
      <c r="AH250" s="83"/>
      <c r="AI250" s="246"/>
      <c r="AJ250" s="102"/>
      <c r="AK250" s="92"/>
      <c r="AL250" s="91"/>
      <c r="AM250" s="92"/>
      <c r="AN250" s="351"/>
      <c r="AO250" s="197">
        <f t="shared" si="15"/>
        <v>0</v>
      </c>
      <c r="AP250" s="91"/>
      <c r="AQ250" s="217"/>
      <c r="AR250" s="196"/>
      <c r="AS250" s="265"/>
      <c r="AT250" s="94"/>
      <c r="AU250" s="84"/>
      <c r="AV250" s="136"/>
      <c r="AW250" s="81"/>
      <c r="AX250" s="137"/>
      <c r="AY250" s="138"/>
      <c r="AZ250" s="220">
        <f t="shared" si="12"/>
        <v>0</v>
      </c>
      <c r="BA250" s="220">
        <f t="shared" si="13"/>
        <v>0</v>
      </c>
    </row>
    <row r="251" spans="1:53" ht="50.1" customHeight="1" x14ac:dyDescent="0.25">
      <c r="A251" s="17">
        <f t="shared" si="14"/>
        <v>237</v>
      </c>
      <c r="B251" s="228"/>
      <c r="C251" s="221"/>
      <c r="D251" s="88"/>
      <c r="E251" s="100"/>
      <c r="F251" s="95"/>
      <c r="G251" s="114"/>
      <c r="H251" s="96"/>
      <c r="I251" s="97"/>
      <c r="J251" s="98"/>
      <c r="K251" s="101"/>
      <c r="L251" s="124"/>
      <c r="M251" s="333"/>
      <c r="N251" s="341"/>
      <c r="O251" s="190"/>
      <c r="P251" s="191"/>
      <c r="Q251" s="190"/>
      <c r="R251" s="191"/>
      <c r="S251" s="294"/>
      <c r="T251" s="300"/>
      <c r="U251" s="306"/>
      <c r="V251" s="308"/>
      <c r="W251" s="248"/>
      <c r="X251" s="342"/>
      <c r="Y251" s="337"/>
      <c r="Z251" s="123"/>
      <c r="AA251" s="83"/>
      <c r="AB251" s="123"/>
      <c r="AC251" s="83"/>
      <c r="AD251" s="123"/>
      <c r="AE251" s="83"/>
      <c r="AF251" s="123"/>
      <c r="AG251" s="243"/>
      <c r="AH251" s="33"/>
      <c r="AI251" s="245"/>
      <c r="AJ251" s="125"/>
      <c r="AK251" s="92"/>
      <c r="AL251" s="126"/>
      <c r="AM251" s="91"/>
      <c r="AN251" s="91"/>
      <c r="AO251" s="197">
        <f t="shared" si="15"/>
        <v>0</v>
      </c>
      <c r="AP251" s="126"/>
      <c r="AQ251" s="217"/>
      <c r="AR251" s="201"/>
      <c r="AS251" s="266"/>
      <c r="AT251" s="94"/>
      <c r="AU251" s="84"/>
      <c r="AV251" s="80"/>
      <c r="AW251" s="81"/>
      <c r="AX251" s="77"/>
      <c r="AY251" s="107"/>
      <c r="AZ251" s="220">
        <f t="shared" si="12"/>
        <v>0</v>
      </c>
      <c r="BA251" s="220">
        <f t="shared" si="13"/>
        <v>0</v>
      </c>
    </row>
    <row r="252" spans="1:53" ht="50.1" customHeight="1" x14ac:dyDescent="0.25">
      <c r="A252" s="17">
        <f t="shared" si="14"/>
        <v>238</v>
      </c>
      <c r="B252" s="229"/>
      <c r="C252" s="222"/>
      <c r="D252" s="112"/>
      <c r="E252" s="128"/>
      <c r="F252" s="183"/>
      <c r="G252" s="130"/>
      <c r="H252" s="131"/>
      <c r="I252" s="132"/>
      <c r="J252" s="189"/>
      <c r="K252" s="133"/>
      <c r="L252" s="134"/>
      <c r="M252" s="334"/>
      <c r="N252" s="343"/>
      <c r="O252" s="192"/>
      <c r="P252" s="191"/>
      <c r="Q252" s="192"/>
      <c r="R252" s="191"/>
      <c r="S252" s="295"/>
      <c r="T252" s="301"/>
      <c r="U252" s="306"/>
      <c r="V252" s="308"/>
      <c r="W252" s="249"/>
      <c r="X252" s="344"/>
      <c r="Y252" s="337"/>
      <c r="Z252" s="33"/>
      <c r="AA252" s="83"/>
      <c r="AB252" s="33"/>
      <c r="AC252" s="83"/>
      <c r="AD252" s="33"/>
      <c r="AE252" s="83"/>
      <c r="AF252" s="33"/>
      <c r="AG252" s="244"/>
      <c r="AH252" s="83"/>
      <c r="AI252" s="246"/>
      <c r="AJ252" s="102"/>
      <c r="AK252" s="92"/>
      <c r="AL252" s="91"/>
      <c r="AM252" s="92"/>
      <c r="AN252" s="351"/>
      <c r="AO252" s="197">
        <f t="shared" si="15"/>
        <v>0</v>
      </c>
      <c r="AP252" s="91"/>
      <c r="AQ252" s="217"/>
      <c r="AR252" s="196"/>
      <c r="AS252" s="265"/>
      <c r="AT252" s="94"/>
      <c r="AU252" s="84"/>
      <c r="AV252" s="136"/>
      <c r="AW252" s="81"/>
      <c r="AX252" s="137"/>
      <c r="AY252" s="138"/>
      <c r="AZ252" s="220">
        <f t="shared" si="12"/>
        <v>0</v>
      </c>
      <c r="BA252" s="220">
        <f t="shared" si="13"/>
        <v>0</v>
      </c>
    </row>
    <row r="253" spans="1:53" ht="50.1" customHeight="1" x14ac:dyDescent="0.25">
      <c r="A253" s="17">
        <f t="shared" si="14"/>
        <v>239</v>
      </c>
      <c r="B253" s="228"/>
      <c r="C253" s="221"/>
      <c r="D253" s="88"/>
      <c r="E253" s="100"/>
      <c r="F253" s="95"/>
      <c r="G253" s="114"/>
      <c r="H253" s="96"/>
      <c r="I253" s="97"/>
      <c r="J253" s="98"/>
      <c r="K253" s="101"/>
      <c r="L253" s="124"/>
      <c r="M253" s="333"/>
      <c r="N253" s="341"/>
      <c r="O253" s="190"/>
      <c r="P253" s="191"/>
      <c r="Q253" s="190"/>
      <c r="R253" s="191"/>
      <c r="S253" s="294"/>
      <c r="T253" s="300"/>
      <c r="U253" s="306"/>
      <c r="V253" s="308"/>
      <c r="W253" s="248"/>
      <c r="X253" s="342"/>
      <c r="Y253" s="337"/>
      <c r="Z253" s="123"/>
      <c r="AA253" s="83"/>
      <c r="AB253" s="123"/>
      <c r="AC253" s="83"/>
      <c r="AD253" s="123"/>
      <c r="AE253" s="83"/>
      <c r="AF253" s="123"/>
      <c r="AG253" s="243"/>
      <c r="AH253" s="33"/>
      <c r="AI253" s="245"/>
      <c r="AJ253" s="125"/>
      <c r="AK253" s="92"/>
      <c r="AL253" s="126"/>
      <c r="AM253" s="91"/>
      <c r="AN253" s="91"/>
      <c r="AO253" s="197">
        <f t="shared" si="15"/>
        <v>0</v>
      </c>
      <c r="AP253" s="126"/>
      <c r="AQ253" s="217"/>
      <c r="AR253" s="201"/>
      <c r="AS253" s="266"/>
      <c r="AT253" s="94"/>
      <c r="AU253" s="84"/>
      <c r="AV253" s="80"/>
      <c r="AW253" s="81"/>
      <c r="AX253" s="77"/>
      <c r="AY253" s="107"/>
      <c r="AZ253" s="220">
        <f t="shared" si="12"/>
        <v>0</v>
      </c>
      <c r="BA253" s="220">
        <f t="shared" si="13"/>
        <v>0</v>
      </c>
    </row>
    <row r="254" spans="1:53" ht="50.1" customHeight="1" x14ac:dyDescent="0.25">
      <c r="A254" s="17">
        <f t="shared" si="14"/>
        <v>240</v>
      </c>
      <c r="B254" s="229"/>
      <c r="C254" s="222"/>
      <c r="D254" s="112"/>
      <c r="E254" s="128"/>
      <c r="F254" s="183"/>
      <c r="G254" s="130"/>
      <c r="H254" s="131"/>
      <c r="I254" s="132"/>
      <c r="J254" s="189"/>
      <c r="K254" s="133"/>
      <c r="L254" s="134"/>
      <c r="M254" s="334"/>
      <c r="N254" s="343"/>
      <c r="O254" s="192"/>
      <c r="P254" s="191"/>
      <c r="Q254" s="192"/>
      <c r="R254" s="191"/>
      <c r="S254" s="295"/>
      <c r="T254" s="301"/>
      <c r="U254" s="306"/>
      <c r="V254" s="308"/>
      <c r="W254" s="249"/>
      <c r="X254" s="344"/>
      <c r="Y254" s="337"/>
      <c r="Z254" s="33"/>
      <c r="AA254" s="83"/>
      <c r="AB254" s="33"/>
      <c r="AC254" s="83"/>
      <c r="AD254" s="33"/>
      <c r="AE254" s="83"/>
      <c r="AF254" s="33"/>
      <c r="AG254" s="244"/>
      <c r="AH254" s="83"/>
      <c r="AI254" s="246"/>
      <c r="AJ254" s="102"/>
      <c r="AK254" s="92"/>
      <c r="AL254" s="91"/>
      <c r="AM254" s="92"/>
      <c r="AN254" s="351"/>
      <c r="AO254" s="197">
        <f t="shared" si="15"/>
        <v>0</v>
      </c>
      <c r="AP254" s="91"/>
      <c r="AQ254" s="217"/>
      <c r="AR254" s="196"/>
      <c r="AS254" s="265"/>
      <c r="AT254" s="94"/>
      <c r="AU254" s="84"/>
      <c r="AV254" s="136"/>
      <c r="AW254" s="81"/>
      <c r="AX254" s="137"/>
      <c r="AY254" s="138"/>
      <c r="AZ254" s="220">
        <f t="shared" si="12"/>
        <v>0</v>
      </c>
      <c r="BA254" s="220">
        <f t="shared" si="13"/>
        <v>0</v>
      </c>
    </row>
    <row r="255" spans="1:53" ht="50.1" customHeight="1" x14ac:dyDescent="0.25">
      <c r="A255" s="17">
        <f t="shared" si="14"/>
        <v>241</v>
      </c>
      <c r="B255" s="228"/>
      <c r="C255" s="221"/>
      <c r="D255" s="88"/>
      <c r="E255" s="100"/>
      <c r="F255" s="95"/>
      <c r="G255" s="114"/>
      <c r="H255" s="96"/>
      <c r="I255" s="97"/>
      <c r="J255" s="98"/>
      <c r="K255" s="101"/>
      <c r="L255" s="124"/>
      <c r="M255" s="333"/>
      <c r="N255" s="341"/>
      <c r="O255" s="190"/>
      <c r="P255" s="191"/>
      <c r="Q255" s="190"/>
      <c r="R255" s="191"/>
      <c r="S255" s="294"/>
      <c r="T255" s="300"/>
      <c r="U255" s="306"/>
      <c r="V255" s="308"/>
      <c r="W255" s="248"/>
      <c r="X255" s="342"/>
      <c r="Y255" s="337"/>
      <c r="Z255" s="123"/>
      <c r="AA255" s="83"/>
      <c r="AB255" s="123"/>
      <c r="AC255" s="83"/>
      <c r="AD255" s="123"/>
      <c r="AE255" s="83"/>
      <c r="AF255" s="123"/>
      <c r="AG255" s="243"/>
      <c r="AH255" s="33"/>
      <c r="AI255" s="245"/>
      <c r="AJ255" s="125"/>
      <c r="AK255" s="92"/>
      <c r="AL255" s="126"/>
      <c r="AM255" s="91"/>
      <c r="AN255" s="91"/>
      <c r="AO255" s="197">
        <f t="shared" si="15"/>
        <v>0</v>
      </c>
      <c r="AP255" s="126"/>
      <c r="AQ255" s="217"/>
      <c r="AR255" s="201"/>
      <c r="AS255" s="266"/>
      <c r="AT255" s="94"/>
      <c r="AU255" s="84"/>
      <c r="AV255" s="80"/>
      <c r="AW255" s="81"/>
      <c r="AX255" s="77"/>
      <c r="AY255" s="107"/>
      <c r="AZ255" s="220">
        <f t="shared" si="12"/>
        <v>0</v>
      </c>
      <c r="BA255" s="220">
        <f t="shared" si="13"/>
        <v>0</v>
      </c>
    </row>
    <row r="256" spans="1:53" ht="50.1" customHeight="1" x14ac:dyDescent="0.25">
      <c r="A256" s="17">
        <f t="shared" si="14"/>
        <v>242</v>
      </c>
      <c r="B256" s="229"/>
      <c r="C256" s="222"/>
      <c r="D256" s="112"/>
      <c r="E256" s="128"/>
      <c r="F256" s="183"/>
      <c r="G256" s="130"/>
      <c r="H256" s="131"/>
      <c r="I256" s="132"/>
      <c r="J256" s="189"/>
      <c r="K256" s="133"/>
      <c r="L256" s="134"/>
      <c r="M256" s="334"/>
      <c r="N256" s="343"/>
      <c r="O256" s="192"/>
      <c r="P256" s="191"/>
      <c r="Q256" s="192"/>
      <c r="R256" s="191"/>
      <c r="S256" s="295"/>
      <c r="T256" s="301"/>
      <c r="U256" s="306"/>
      <c r="V256" s="308"/>
      <c r="W256" s="249"/>
      <c r="X256" s="344"/>
      <c r="Y256" s="337"/>
      <c r="Z256" s="33"/>
      <c r="AA256" s="83"/>
      <c r="AB256" s="33"/>
      <c r="AC256" s="83"/>
      <c r="AD256" s="33"/>
      <c r="AE256" s="83"/>
      <c r="AF256" s="33"/>
      <c r="AG256" s="244"/>
      <c r="AH256" s="83"/>
      <c r="AI256" s="246"/>
      <c r="AJ256" s="102"/>
      <c r="AK256" s="92"/>
      <c r="AL256" s="91"/>
      <c r="AM256" s="92"/>
      <c r="AN256" s="351"/>
      <c r="AO256" s="197">
        <f t="shared" si="15"/>
        <v>0</v>
      </c>
      <c r="AP256" s="91"/>
      <c r="AQ256" s="217"/>
      <c r="AR256" s="196"/>
      <c r="AS256" s="265"/>
      <c r="AT256" s="94"/>
      <c r="AU256" s="84"/>
      <c r="AV256" s="136"/>
      <c r="AW256" s="81"/>
      <c r="AX256" s="137"/>
      <c r="AY256" s="138"/>
      <c r="AZ256" s="220">
        <f t="shared" si="12"/>
        <v>0</v>
      </c>
      <c r="BA256" s="220">
        <f t="shared" si="13"/>
        <v>0</v>
      </c>
    </row>
    <row r="257" spans="1:53" ht="50.1" customHeight="1" x14ac:dyDescent="0.25">
      <c r="A257" s="17">
        <f t="shared" si="14"/>
        <v>243</v>
      </c>
      <c r="B257" s="228"/>
      <c r="C257" s="221"/>
      <c r="D257" s="88"/>
      <c r="E257" s="100"/>
      <c r="F257" s="95"/>
      <c r="G257" s="114"/>
      <c r="H257" s="96"/>
      <c r="I257" s="97"/>
      <c r="J257" s="98"/>
      <c r="K257" s="101"/>
      <c r="L257" s="124"/>
      <c r="M257" s="333"/>
      <c r="N257" s="341"/>
      <c r="O257" s="190"/>
      <c r="P257" s="191"/>
      <c r="Q257" s="190"/>
      <c r="R257" s="191"/>
      <c r="S257" s="294"/>
      <c r="T257" s="300"/>
      <c r="U257" s="306"/>
      <c r="V257" s="308"/>
      <c r="W257" s="248"/>
      <c r="X257" s="342"/>
      <c r="Y257" s="337"/>
      <c r="Z257" s="123"/>
      <c r="AA257" s="83"/>
      <c r="AB257" s="123"/>
      <c r="AC257" s="83"/>
      <c r="AD257" s="123"/>
      <c r="AE257" s="83"/>
      <c r="AF257" s="123"/>
      <c r="AG257" s="243"/>
      <c r="AH257" s="33"/>
      <c r="AI257" s="245"/>
      <c r="AJ257" s="125"/>
      <c r="AK257" s="92"/>
      <c r="AL257" s="126"/>
      <c r="AM257" s="91"/>
      <c r="AN257" s="91"/>
      <c r="AO257" s="197">
        <f t="shared" si="15"/>
        <v>0</v>
      </c>
      <c r="AP257" s="126"/>
      <c r="AQ257" s="217"/>
      <c r="AR257" s="201"/>
      <c r="AS257" s="266"/>
      <c r="AT257" s="94"/>
      <c r="AU257" s="84"/>
      <c r="AV257" s="80"/>
      <c r="AW257" s="81"/>
      <c r="AX257" s="77"/>
      <c r="AY257" s="107"/>
      <c r="AZ257" s="220">
        <f t="shared" si="12"/>
        <v>0</v>
      </c>
      <c r="BA257" s="220">
        <f t="shared" si="13"/>
        <v>0</v>
      </c>
    </row>
    <row r="258" spans="1:53" ht="50.1" customHeight="1" x14ac:dyDescent="0.25">
      <c r="A258" s="17">
        <f t="shared" si="14"/>
        <v>244</v>
      </c>
      <c r="B258" s="229"/>
      <c r="C258" s="222"/>
      <c r="D258" s="112"/>
      <c r="E258" s="128"/>
      <c r="F258" s="183"/>
      <c r="G258" s="130"/>
      <c r="H258" s="131"/>
      <c r="I258" s="132"/>
      <c r="J258" s="189"/>
      <c r="K258" s="133"/>
      <c r="L258" s="134"/>
      <c r="M258" s="334"/>
      <c r="N258" s="343"/>
      <c r="O258" s="192"/>
      <c r="P258" s="191"/>
      <c r="Q258" s="192"/>
      <c r="R258" s="191"/>
      <c r="S258" s="295"/>
      <c r="T258" s="301"/>
      <c r="U258" s="306"/>
      <c r="V258" s="308"/>
      <c r="W258" s="249"/>
      <c r="X258" s="344"/>
      <c r="Y258" s="337"/>
      <c r="Z258" s="33"/>
      <c r="AA258" s="83"/>
      <c r="AB258" s="33"/>
      <c r="AC258" s="83"/>
      <c r="AD258" s="33"/>
      <c r="AE258" s="83"/>
      <c r="AF258" s="33"/>
      <c r="AG258" s="244"/>
      <c r="AH258" s="83"/>
      <c r="AI258" s="246"/>
      <c r="AJ258" s="102"/>
      <c r="AK258" s="92"/>
      <c r="AL258" s="91"/>
      <c r="AM258" s="92"/>
      <c r="AN258" s="351"/>
      <c r="AO258" s="197">
        <f t="shared" si="15"/>
        <v>0</v>
      </c>
      <c r="AP258" s="91"/>
      <c r="AQ258" s="217"/>
      <c r="AR258" s="196"/>
      <c r="AS258" s="265"/>
      <c r="AT258" s="94"/>
      <c r="AU258" s="84"/>
      <c r="AV258" s="136"/>
      <c r="AW258" s="81"/>
      <c r="AX258" s="137"/>
      <c r="AY258" s="138"/>
      <c r="AZ258" s="220">
        <f t="shared" si="12"/>
        <v>0</v>
      </c>
      <c r="BA258" s="220">
        <f t="shared" si="13"/>
        <v>0</v>
      </c>
    </row>
    <row r="259" spans="1:53" ht="50.1" customHeight="1" x14ac:dyDescent="0.25">
      <c r="A259" s="17">
        <f t="shared" si="14"/>
        <v>245</v>
      </c>
      <c r="B259" s="228"/>
      <c r="C259" s="221"/>
      <c r="D259" s="88"/>
      <c r="E259" s="100"/>
      <c r="F259" s="95"/>
      <c r="G259" s="114"/>
      <c r="H259" s="96"/>
      <c r="I259" s="97"/>
      <c r="J259" s="98"/>
      <c r="K259" s="101"/>
      <c r="L259" s="124"/>
      <c r="M259" s="333"/>
      <c r="N259" s="341"/>
      <c r="O259" s="190"/>
      <c r="P259" s="191"/>
      <c r="Q259" s="190"/>
      <c r="R259" s="191"/>
      <c r="S259" s="294"/>
      <c r="T259" s="300"/>
      <c r="U259" s="306"/>
      <c r="V259" s="308"/>
      <c r="W259" s="248"/>
      <c r="X259" s="342"/>
      <c r="Y259" s="337"/>
      <c r="Z259" s="123"/>
      <c r="AA259" s="83"/>
      <c r="AB259" s="123"/>
      <c r="AC259" s="83"/>
      <c r="AD259" s="123"/>
      <c r="AE259" s="83"/>
      <c r="AF259" s="123"/>
      <c r="AG259" s="243"/>
      <c r="AH259" s="33"/>
      <c r="AI259" s="245"/>
      <c r="AJ259" s="125"/>
      <c r="AK259" s="92"/>
      <c r="AL259" s="126"/>
      <c r="AM259" s="91"/>
      <c r="AN259" s="91"/>
      <c r="AO259" s="197">
        <f t="shared" si="15"/>
        <v>0</v>
      </c>
      <c r="AP259" s="126"/>
      <c r="AQ259" s="217"/>
      <c r="AR259" s="201"/>
      <c r="AS259" s="266"/>
      <c r="AT259" s="94"/>
      <c r="AU259" s="84"/>
      <c r="AV259" s="80"/>
      <c r="AW259" s="81"/>
      <c r="AX259" s="77"/>
      <c r="AY259" s="107"/>
      <c r="AZ259" s="220">
        <f t="shared" si="12"/>
        <v>0</v>
      </c>
      <c r="BA259" s="220">
        <f t="shared" si="13"/>
        <v>0</v>
      </c>
    </row>
    <row r="260" spans="1:53" ht="50.1" customHeight="1" x14ac:dyDescent="0.25">
      <c r="A260" s="17">
        <f t="shared" si="14"/>
        <v>246</v>
      </c>
      <c r="B260" s="229"/>
      <c r="C260" s="222"/>
      <c r="D260" s="112"/>
      <c r="E260" s="128"/>
      <c r="F260" s="183"/>
      <c r="G260" s="130"/>
      <c r="H260" s="131"/>
      <c r="I260" s="132"/>
      <c r="J260" s="189"/>
      <c r="K260" s="133"/>
      <c r="L260" s="134"/>
      <c r="M260" s="334"/>
      <c r="N260" s="343"/>
      <c r="O260" s="192"/>
      <c r="P260" s="191"/>
      <c r="Q260" s="192"/>
      <c r="R260" s="191"/>
      <c r="S260" s="295"/>
      <c r="T260" s="301"/>
      <c r="U260" s="306"/>
      <c r="V260" s="308"/>
      <c r="W260" s="249"/>
      <c r="X260" s="344"/>
      <c r="Y260" s="337"/>
      <c r="Z260" s="33"/>
      <c r="AA260" s="83"/>
      <c r="AB260" s="33"/>
      <c r="AC260" s="83"/>
      <c r="AD260" s="33"/>
      <c r="AE260" s="83"/>
      <c r="AF260" s="33"/>
      <c r="AG260" s="244"/>
      <c r="AH260" s="83"/>
      <c r="AI260" s="246"/>
      <c r="AJ260" s="195"/>
      <c r="AK260" s="92"/>
      <c r="AL260" s="91"/>
      <c r="AM260" s="92"/>
      <c r="AN260" s="351"/>
      <c r="AO260" s="197">
        <f t="shared" si="15"/>
        <v>0</v>
      </c>
      <c r="AP260" s="91"/>
      <c r="AQ260" s="217"/>
      <c r="AR260" s="196"/>
      <c r="AS260" s="265"/>
      <c r="AT260" s="94"/>
      <c r="AU260" s="84"/>
      <c r="AV260" s="136"/>
      <c r="AW260" s="81"/>
      <c r="AX260" s="137"/>
      <c r="AY260" s="138"/>
      <c r="AZ260" s="220">
        <f t="shared" si="12"/>
        <v>0</v>
      </c>
      <c r="BA260" s="220">
        <f t="shared" si="13"/>
        <v>0</v>
      </c>
    </row>
    <row r="261" spans="1:53" ht="50.1" customHeight="1" x14ac:dyDescent="0.25">
      <c r="A261" s="17">
        <f t="shared" si="14"/>
        <v>247</v>
      </c>
      <c r="B261" s="228"/>
      <c r="C261" s="221"/>
      <c r="D261" s="88"/>
      <c r="E261" s="100"/>
      <c r="F261" s="95"/>
      <c r="G261" s="114"/>
      <c r="H261" s="96"/>
      <c r="I261" s="97"/>
      <c r="J261" s="98"/>
      <c r="K261" s="101"/>
      <c r="L261" s="124"/>
      <c r="M261" s="333"/>
      <c r="N261" s="341"/>
      <c r="O261" s="190"/>
      <c r="P261" s="191"/>
      <c r="Q261" s="190"/>
      <c r="R261" s="191"/>
      <c r="S261" s="294"/>
      <c r="T261" s="300"/>
      <c r="U261" s="306"/>
      <c r="V261" s="308"/>
      <c r="W261" s="248"/>
      <c r="X261" s="342"/>
      <c r="Y261" s="337"/>
      <c r="Z261" s="123"/>
      <c r="AA261" s="83"/>
      <c r="AB261" s="123"/>
      <c r="AC261" s="83"/>
      <c r="AD261" s="123"/>
      <c r="AE261" s="83"/>
      <c r="AF261" s="123"/>
      <c r="AG261" s="243"/>
      <c r="AH261" s="33"/>
      <c r="AI261" s="245"/>
      <c r="AJ261" s="125"/>
      <c r="AK261" s="92"/>
      <c r="AL261" s="126"/>
      <c r="AM261" s="91"/>
      <c r="AN261" s="91"/>
      <c r="AO261" s="197">
        <f t="shared" si="15"/>
        <v>0</v>
      </c>
      <c r="AP261" s="126"/>
      <c r="AQ261" s="217"/>
      <c r="AR261" s="201"/>
      <c r="AS261" s="266"/>
      <c r="AT261" s="94"/>
      <c r="AU261" s="84"/>
      <c r="AV261" s="80"/>
      <c r="AW261" s="81"/>
      <c r="AX261" s="77"/>
      <c r="AY261" s="107"/>
      <c r="AZ261" s="220">
        <f t="shared" si="12"/>
        <v>0</v>
      </c>
      <c r="BA261" s="220">
        <f t="shared" si="13"/>
        <v>0</v>
      </c>
    </row>
    <row r="262" spans="1:53" ht="50.1" customHeight="1" x14ac:dyDescent="0.25">
      <c r="A262" s="17">
        <f t="shared" si="14"/>
        <v>248</v>
      </c>
      <c r="B262" s="229"/>
      <c r="C262" s="222"/>
      <c r="D262" s="112"/>
      <c r="E262" s="128"/>
      <c r="F262" s="183"/>
      <c r="G262" s="130"/>
      <c r="H262" s="131"/>
      <c r="I262" s="132"/>
      <c r="J262" s="189"/>
      <c r="K262" s="133"/>
      <c r="L262" s="134"/>
      <c r="M262" s="334"/>
      <c r="N262" s="343"/>
      <c r="O262" s="192"/>
      <c r="P262" s="191"/>
      <c r="Q262" s="192"/>
      <c r="R262" s="191"/>
      <c r="S262" s="295"/>
      <c r="T262" s="301"/>
      <c r="U262" s="306"/>
      <c r="V262" s="308"/>
      <c r="W262" s="249"/>
      <c r="X262" s="344"/>
      <c r="Y262" s="337"/>
      <c r="Z262" s="33"/>
      <c r="AA262" s="83"/>
      <c r="AB262" s="33"/>
      <c r="AC262" s="83"/>
      <c r="AD262" s="33"/>
      <c r="AE262" s="83"/>
      <c r="AF262" s="33"/>
      <c r="AG262" s="244"/>
      <c r="AH262" s="83"/>
      <c r="AI262" s="246"/>
      <c r="AJ262" s="195"/>
      <c r="AK262" s="92"/>
      <c r="AL262" s="91"/>
      <c r="AM262" s="92"/>
      <c r="AN262" s="351"/>
      <c r="AO262" s="197">
        <f t="shared" si="15"/>
        <v>0</v>
      </c>
      <c r="AP262" s="91"/>
      <c r="AQ262" s="217"/>
      <c r="AR262" s="196"/>
      <c r="AS262" s="265"/>
      <c r="AT262" s="94"/>
      <c r="AU262" s="84"/>
      <c r="AV262" s="136"/>
      <c r="AW262" s="81"/>
      <c r="AX262" s="137"/>
      <c r="AY262" s="138"/>
      <c r="AZ262" s="220">
        <f t="shared" si="12"/>
        <v>0</v>
      </c>
      <c r="BA262" s="220">
        <f t="shared" si="13"/>
        <v>0</v>
      </c>
    </row>
    <row r="263" spans="1:53" ht="50.1" customHeight="1" x14ac:dyDescent="0.25">
      <c r="A263" s="17">
        <f t="shared" si="14"/>
        <v>249</v>
      </c>
      <c r="B263" s="228"/>
      <c r="C263" s="221"/>
      <c r="D263" s="88"/>
      <c r="E263" s="100"/>
      <c r="F263" s="95"/>
      <c r="G263" s="114"/>
      <c r="H263" s="96"/>
      <c r="I263" s="97"/>
      <c r="J263" s="98"/>
      <c r="K263" s="101"/>
      <c r="L263" s="124"/>
      <c r="M263" s="333"/>
      <c r="N263" s="341"/>
      <c r="O263" s="190"/>
      <c r="P263" s="191"/>
      <c r="Q263" s="190"/>
      <c r="R263" s="191"/>
      <c r="S263" s="294"/>
      <c r="T263" s="300"/>
      <c r="U263" s="306"/>
      <c r="V263" s="308"/>
      <c r="W263" s="248"/>
      <c r="X263" s="342"/>
      <c r="Y263" s="337"/>
      <c r="Z263" s="123"/>
      <c r="AA263" s="83"/>
      <c r="AB263" s="123"/>
      <c r="AC263" s="83"/>
      <c r="AD263" s="123"/>
      <c r="AE263" s="83"/>
      <c r="AF263" s="123"/>
      <c r="AG263" s="243"/>
      <c r="AH263" s="33"/>
      <c r="AI263" s="245"/>
      <c r="AJ263" s="125"/>
      <c r="AK263" s="92"/>
      <c r="AL263" s="126"/>
      <c r="AM263" s="91"/>
      <c r="AN263" s="91"/>
      <c r="AO263" s="197">
        <f t="shared" si="15"/>
        <v>0</v>
      </c>
      <c r="AP263" s="126"/>
      <c r="AQ263" s="217"/>
      <c r="AR263" s="201"/>
      <c r="AS263" s="266"/>
      <c r="AT263" s="94"/>
      <c r="AU263" s="84"/>
      <c r="AV263" s="80"/>
      <c r="AW263" s="81"/>
      <c r="AX263" s="77"/>
      <c r="AY263" s="107"/>
      <c r="AZ263" s="220">
        <f t="shared" si="12"/>
        <v>0</v>
      </c>
      <c r="BA263" s="220">
        <f t="shared" si="13"/>
        <v>0</v>
      </c>
    </row>
    <row r="264" spans="1:53" ht="50.1" customHeight="1" x14ac:dyDescent="0.25">
      <c r="A264" s="17">
        <f t="shared" si="14"/>
        <v>250</v>
      </c>
      <c r="B264" s="229"/>
      <c r="C264" s="222"/>
      <c r="D264" s="112"/>
      <c r="E264" s="128"/>
      <c r="F264" s="183"/>
      <c r="G264" s="130"/>
      <c r="H264" s="131"/>
      <c r="I264" s="132"/>
      <c r="J264" s="189"/>
      <c r="K264" s="133"/>
      <c r="L264" s="134"/>
      <c r="M264" s="334"/>
      <c r="N264" s="343"/>
      <c r="O264" s="192"/>
      <c r="P264" s="191"/>
      <c r="Q264" s="192"/>
      <c r="R264" s="191"/>
      <c r="S264" s="295"/>
      <c r="T264" s="301"/>
      <c r="U264" s="306"/>
      <c r="V264" s="308"/>
      <c r="W264" s="249"/>
      <c r="X264" s="344"/>
      <c r="Y264" s="337"/>
      <c r="Z264" s="33"/>
      <c r="AA264" s="83"/>
      <c r="AB264" s="33"/>
      <c r="AC264" s="83"/>
      <c r="AD264" s="33"/>
      <c r="AE264" s="83"/>
      <c r="AF264" s="33"/>
      <c r="AG264" s="244"/>
      <c r="AH264" s="83"/>
      <c r="AI264" s="246"/>
      <c r="AJ264" s="102"/>
      <c r="AK264" s="92"/>
      <c r="AL264" s="91"/>
      <c r="AM264" s="92"/>
      <c r="AN264" s="351"/>
      <c r="AO264" s="197">
        <f t="shared" si="15"/>
        <v>0</v>
      </c>
      <c r="AP264" s="91"/>
      <c r="AQ264" s="217"/>
      <c r="AR264" s="196"/>
      <c r="AS264" s="265"/>
      <c r="AT264" s="94"/>
      <c r="AU264" s="84"/>
      <c r="AV264" s="136"/>
      <c r="AW264" s="81"/>
      <c r="AX264" s="137"/>
      <c r="AY264" s="138"/>
      <c r="AZ264" s="220">
        <f t="shared" si="12"/>
        <v>0</v>
      </c>
      <c r="BA264" s="220">
        <f t="shared" si="13"/>
        <v>0</v>
      </c>
    </row>
    <row r="265" spans="1:53" ht="50.1" customHeight="1" x14ac:dyDescent="0.25">
      <c r="A265" s="17">
        <f t="shared" si="14"/>
        <v>251</v>
      </c>
      <c r="B265" s="228"/>
      <c r="C265" s="221"/>
      <c r="D265" s="88"/>
      <c r="E265" s="100"/>
      <c r="F265" s="95"/>
      <c r="G265" s="114"/>
      <c r="H265" s="96"/>
      <c r="I265" s="97"/>
      <c r="J265" s="98"/>
      <c r="K265" s="101"/>
      <c r="L265" s="124"/>
      <c r="M265" s="333"/>
      <c r="N265" s="341"/>
      <c r="O265" s="190"/>
      <c r="P265" s="191"/>
      <c r="Q265" s="190"/>
      <c r="R265" s="191"/>
      <c r="S265" s="294"/>
      <c r="T265" s="300"/>
      <c r="U265" s="306"/>
      <c r="V265" s="308"/>
      <c r="W265" s="248"/>
      <c r="X265" s="342"/>
      <c r="Y265" s="337"/>
      <c r="Z265" s="123"/>
      <c r="AA265" s="83"/>
      <c r="AB265" s="123"/>
      <c r="AC265" s="83"/>
      <c r="AD265" s="123"/>
      <c r="AE265" s="83"/>
      <c r="AF265" s="123"/>
      <c r="AG265" s="243"/>
      <c r="AH265" s="33"/>
      <c r="AI265" s="245"/>
      <c r="AJ265" s="125"/>
      <c r="AK265" s="92"/>
      <c r="AL265" s="126"/>
      <c r="AM265" s="91"/>
      <c r="AN265" s="91"/>
      <c r="AO265" s="197">
        <f t="shared" si="15"/>
        <v>0</v>
      </c>
      <c r="AP265" s="126"/>
      <c r="AQ265" s="217"/>
      <c r="AR265" s="201"/>
      <c r="AS265" s="266"/>
      <c r="AT265" s="94"/>
      <c r="AU265" s="84"/>
      <c r="AV265" s="80"/>
      <c r="AW265" s="81"/>
      <c r="AX265" s="77"/>
      <c r="AY265" s="107"/>
      <c r="AZ265" s="220">
        <f t="shared" si="12"/>
        <v>0</v>
      </c>
      <c r="BA265" s="220">
        <f t="shared" si="13"/>
        <v>0</v>
      </c>
    </row>
    <row r="266" spans="1:53" ht="50.1" customHeight="1" x14ac:dyDescent="0.25">
      <c r="A266" s="17">
        <f t="shared" si="14"/>
        <v>252</v>
      </c>
      <c r="B266" s="229"/>
      <c r="C266" s="222"/>
      <c r="D266" s="112"/>
      <c r="E266" s="128"/>
      <c r="F266" s="183"/>
      <c r="G266" s="130"/>
      <c r="H266" s="131"/>
      <c r="I266" s="132"/>
      <c r="J266" s="189"/>
      <c r="K266" s="133"/>
      <c r="L266" s="134"/>
      <c r="M266" s="334"/>
      <c r="N266" s="343"/>
      <c r="O266" s="192"/>
      <c r="P266" s="191"/>
      <c r="Q266" s="192"/>
      <c r="R266" s="191"/>
      <c r="S266" s="295"/>
      <c r="T266" s="301"/>
      <c r="U266" s="306"/>
      <c r="V266" s="308"/>
      <c r="W266" s="249"/>
      <c r="X266" s="344"/>
      <c r="Y266" s="337"/>
      <c r="Z266" s="33"/>
      <c r="AA266" s="83"/>
      <c r="AB266" s="33"/>
      <c r="AC266" s="83"/>
      <c r="AD266" s="33"/>
      <c r="AE266" s="83"/>
      <c r="AF266" s="33"/>
      <c r="AG266" s="244"/>
      <c r="AH266" s="83"/>
      <c r="AI266" s="246"/>
      <c r="AJ266" s="102"/>
      <c r="AK266" s="92"/>
      <c r="AL266" s="91"/>
      <c r="AM266" s="92"/>
      <c r="AN266" s="351"/>
      <c r="AO266" s="197">
        <f t="shared" si="15"/>
        <v>0</v>
      </c>
      <c r="AP266" s="91"/>
      <c r="AQ266" s="217"/>
      <c r="AR266" s="83"/>
      <c r="AS266" s="267"/>
      <c r="AT266" s="94"/>
      <c r="AU266" s="84"/>
      <c r="AV266" s="136"/>
      <c r="AW266" s="81"/>
      <c r="AX266" s="137"/>
      <c r="AY266" s="138"/>
      <c r="AZ266" s="220">
        <f t="shared" si="12"/>
        <v>0</v>
      </c>
      <c r="BA266" s="220">
        <f t="shared" si="13"/>
        <v>0</v>
      </c>
    </row>
    <row r="267" spans="1:53" ht="50.1" customHeight="1" x14ac:dyDescent="0.25">
      <c r="A267" s="17">
        <f t="shared" si="14"/>
        <v>253</v>
      </c>
      <c r="B267" s="228"/>
      <c r="C267" s="221"/>
      <c r="D267" s="88"/>
      <c r="E267" s="100"/>
      <c r="F267" s="95"/>
      <c r="G267" s="114"/>
      <c r="H267" s="96"/>
      <c r="I267" s="97"/>
      <c r="J267" s="98"/>
      <c r="K267" s="101"/>
      <c r="L267" s="124"/>
      <c r="M267" s="333"/>
      <c r="N267" s="341"/>
      <c r="O267" s="190"/>
      <c r="P267" s="191"/>
      <c r="Q267" s="190"/>
      <c r="R267" s="191"/>
      <c r="S267" s="294"/>
      <c r="T267" s="300"/>
      <c r="U267" s="306"/>
      <c r="V267" s="308"/>
      <c r="W267" s="248"/>
      <c r="X267" s="342"/>
      <c r="Y267" s="337"/>
      <c r="Z267" s="123"/>
      <c r="AA267" s="83"/>
      <c r="AB267" s="123"/>
      <c r="AC267" s="83"/>
      <c r="AD267" s="123"/>
      <c r="AE267" s="83"/>
      <c r="AF267" s="123"/>
      <c r="AG267" s="243"/>
      <c r="AH267" s="33"/>
      <c r="AI267" s="245"/>
      <c r="AJ267" s="125"/>
      <c r="AK267" s="92"/>
      <c r="AL267" s="126"/>
      <c r="AM267" s="91"/>
      <c r="AN267" s="91"/>
      <c r="AO267" s="197">
        <f t="shared" si="15"/>
        <v>0</v>
      </c>
      <c r="AP267" s="126"/>
      <c r="AQ267" s="217"/>
      <c r="AR267" s="201"/>
      <c r="AS267" s="266"/>
      <c r="AT267" s="94"/>
      <c r="AU267" s="84"/>
      <c r="AV267" s="80"/>
      <c r="AW267" s="81"/>
      <c r="AX267" s="77"/>
      <c r="AY267" s="107"/>
      <c r="AZ267" s="220">
        <f t="shared" si="12"/>
        <v>0</v>
      </c>
      <c r="BA267" s="220">
        <f t="shared" si="13"/>
        <v>0</v>
      </c>
    </row>
    <row r="268" spans="1:53" ht="50.1" customHeight="1" x14ac:dyDescent="0.25">
      <c r="A268" s="17">
        <f t="shared" si="14"/>
        <v>254</v>
      </c>
      <c r="B268" s="229"/>
      <c r="C268" s="222"/>
      <c r="D268" s="112"/>
      <c r="E268" s="128"/>
      <c r="F268" s="183"/>
      <c r="G268" s="130"/>
      <c r="H268" s="131"/>
      <c r="I268" s="132"/>
      <c r="J268" s="189"/>
      <c r="K268" s="133"/>
      <c r="L268" s="134"/>
      <c r="M268" s="334"/>
      <c r="N268" s="343"/>
      <c r="O268" s="192"/>
      <c r="P268" s="191"/>
      <c r="Q268" s="192"/>
      <c r="R268" s="191"/>
      <c r="S268" s="295"/>
      <c r="T268" s="301"/>
      <c r="U268" s="306"/>
      <c r="V268" s="308"/>
      <c r="W268" s="249"/>
      <c r="X268" s="344"/>
      <c r="Y268" s="337"/>
      <c r="Z268" s="33"/>
      <c r="AA268" s="83"/>
      <c r="AB268" s="33"/>
      <c r="AC268" s="83"/>
      <c r="AD268" s="33"/>
      <c r="AE268" s="83"/>
      <c r="AF268" s="33"/>
      <c r="AG268" s="244"/>
      <c r="AH268" s="83"/>
      <c r="AI268" s="246"/>
      <c r="AJ268" s="102"/>
      <c r="AK268" s="92"/>
      <c r="AL268" s="91"/>
      <c r="AM268" s="92"/>
      <c r="AN268" s="351"/>
      <c r="AO268" s="197">
        <f t="shared" si="15"/>
        <v>0</v>
      </c>
      <c r="AP268" s="91"/>
      <c r="AQ268" s="217"/>
      <c r="AR268" s="83"/>
      <c r="AS268" s="267"/>
      <c r="AT268" s="94"/>
      <c r="AU268" s="84"/>
      <c r="AV268" s="136"/>
      <c r="AW268" s="81"/>
      <c r="AX268" s="137"/>
      <c r="AY268" s="138"/>
      <c r="AZ268" s="220">
        <f t="shared" si="12"/>
        <v>0</v>
      </c>
      <c r="BA268" s="220">
        <f t="shared" si="13"/>
        <v>0</v>
      </c>
    </row>
    <row r="269" spans="1:53" ht="50.1" customHeight="1" x14ac:dyDescent="0.25">
      <c r="A269" s="17">
        <f t="shared" si="14"/>
        <v>255</v>
      </c>
      <c r="B269" s="228"/>
      <c r="C269" s="221"/>
      <c r="D269" s="88"/>
      <c r="E269" s="100"/>
      <c r="F269" s="95"/>
      <c r="G269" s="114"/>
      <c r="H269" s="96"/>
      <c r="I269" s="97"/>
      <c r="J269" s="98"/>
      <c r="K269" s="101"/>
      <c r="L269" s="124"/>
      <c r="M269" s="333"/>
      <c r="N269" s="341"/>
      <c r="O269" s="190"/>
      <c r="P269" s="191"/>
      <c r="Q269" s="190"/>
      <c r="R269" s="191"/>
      <c r="S269" s="294"/>
      <c r="T269" s="300"/>
      <c r="U269" s="306"/>
      <c r="V269" s="308"/>
      <c r="W269" s="248"/>
      <c r="X269" s="342"/>
      <c r="Y269" s="337"/>
      <c r="Z269" s="123"/>
      <c r="AA269" s="83"/>
      <c r="AB269" s="123"/>
      <c r="AC269" s="83"/>
      <c r="AD269" s="123"/>
      <c r="AE269" s="83"/>
      <c r="AF269" s="123"/>
      <c r="AG269" s="243"/>
      <c r="AH269" s="33"/>
      <c r="AI269" s="245"/>
      <c r="AJ269" s="125"/>
      <c r="AK269" s="92"/>
      <c r="AL269" s="126"/>
      <c r="AM269" s="91"/>
      <c r="AN269" s="91"/>
      <c r="AO269" s="197">
        <f t="shared" si="15"/>
        <v>0</v>
      </c>
      <c r="AP269" s="126"/>
      <c r="AQ269" s="217"/>
      <c r="AR269" s="123"/>
      <c r="AS269" s="268"/>
      <c r="AT269" s="94"/>
      <c r="AU269" s="84"/>
      <c r="AV269" s="80"/>
      <c r="AW269" s="81"/>
      <c r="AX269" s="77"/>
      <c r="AY269" s="107"/>
      <c r="AZ269" s="220">
        <f t="shared" si="12"/>
        <v>0</v>
      </c>
      <c r="BA269" s="220">
        <f t="shared" si="13"/>
        <v>0</v>
      </c>
    </row>
    <row r="270" spans="1:53" ht="50.1" customHeight="1" x14ac:dyDescent="0.25">
      <c r="A270" s="17">
        <f t="shared" si="14"/>
        <v>256</v>
      </c>
      <c r="B270" s="229"/>
      <c r="C270" s="222"/>
      <c r="D270" s="112"/>
      <c r="E270" s="128"/>
      <c r="F270" s="183"/>
      <c r="G270" s="130"/>
      <c r="H270" s="131"/>
      <c r="I270" s="132"/>
      <c r="J270" s="189"/>
      <c r="K270" s="133"/>
      <c r="L270" s="134"/>
      <c r="M270" s="334"/>
      <c r="N270" s="343"/>
      <c r="O270" s="192"/>
      <c r="P270" s="191"/>
      <c r="Q270" s="192"/>
      <c r="R270" s="191"/>
      <c r="S270" s="295"/>
      <c r="T270" s="301"/>
      <c r="U270" s="306"/>
      <c r="V270" s="308"/>
      <c r="W270" s="249"/>
      <c r="X270" s="344"/>
      <c r="Y270" s="337"/>
      <c r="Z270" s="33"/>
      <c r="AA270" s="83"/>
      <c r="AB270" s="33"/>
      <c r="AC270" s="83"/>
      <c r="AD270" s="33"/>
      <c r="AE270" s="83"/>
      <c r="AF270" s="33"/>
      <c r="AG270" s="244"/>
      <c r="AH270" s="83"/>
      <c r="AI270" s="246"/>
      <c r="AJ270" s="102"/>
      <c r="AK270" s="92"/>
      <c r="AL270" s="91"/>
      <c r="AM270" s="92"/>
      <c r="AN270" s="351"/>
      <c r="AO270" s="197">
        <f t="shared" si="15"/>
        <v>0</v>
      </c>
      <c r="AP270" s="91"/>
      <c r="AQ270" s="217"/>
      <c r="AR270" s="83"/>
      <c r="AS270" s="267"/>
      <c r="AT270" s="94"/>
      <c r="AU270" s="84"/>
      <c r="AV270" s="136"/>
      <c r="AW270" s="81"/>
      <c r="AX270" s="137"/>
      <c r="AY270" s="138"/>
      <c r="AZ270" s="220">
        <f t="shared" si="12"/>
        <v>0</v>
      </c>
      <c r="BA270" s="220">
        <f t="shared" si="13"/>
        <v>0</v>
      </c>
    </row>
    <row r="271" spans="1:53" ht="50.1" customHeight="1" x14ac:dyDescent="0.25">
      <c r="A271" s="17">
        <f t="shared" si="14"/>
        <v>257</v>
      </c>
      <c r="B271" s="228"/>
      <c r="C271" s="221"/>
      <c r="D271" s="88"/>
      <c r="E271" s="100"/>
      <c r="F271" s="95"/>
      <c r="G271" s="114"/>
      <c r="H271" s="96"/>
      <c r="I271" s="97"/>
      <c r="J271" s="98"/>
      <c r="K271" s="101"/>
      <c r="L271" s="124"/>
      <c r="M271" s="333"/>
      <c r="N271" s="341"/>
      <c r="O271" s="190"/>
      <c r="P271" s="191"/>
      <c r="Q271" s="190"/>
      <c r="R271" s="191"/>
      <c r="S271" s="294"/>
      <c r="T271" s="300"/>
      <c r="U271" s="306"/>
      <c r="V271" s="308"/>
      <c r="W271" s="248"/>
      <c r="X271" s="342"/>
      <c r="Y271" s="337"/>
      <c r="Z271" s="123"/>
      <c r="AA271" s="83"/>
      <c r="AB271" s="123"/>
      <c r="AC271" s="83"/>
      <c r="AD271" s="123"/>
      <c r="AE271" s="83"/>
      <c r="AF271" s="123"/>
      <c r="AG271" s="243"/>
      <c r="AH271" s="33"/>
      <c r="AI271" s="245"/>
      <c r="AJ271" s="125"/>
      <c r="AK271" s="92"/>
      <c r="AL271" s="126"/>
      <c r="AM271" s="91"/>
      <c r="AN271" s="91"/>
      <c r="AO271" s="197">
        <f t="shared" si="15"/>
        <v>0</v>
      </c>
      <c r="AP271" s="126"/>
      <c r="AQ271" s="217"/>
      <c r="AR271" s="201"/>
      <c r="AS271" s="266"/>
      <c r="AT271" s="94"/>
      <c r="AU271" s="84"/>
      <c r="AV271" s="80"/>
      <c r="AW271" s="81"/>
      <c r="AX271" s="77"/>
      <c r="AY271" s="107"/>
      <c r="AZ271" s="220">
        <f t="shared" ref="AZ271:AZ334" si="16">M271-B271</f>
        <v>0</v>
      </c>
      <c r="BA271" s="220">
        <f t="shared" ref="BA271:BA334" si="17">AU271-M271</f>
        <v>0</v>
      </c>
    </row>
    <row r="272" spans="1:53" ht="50.1" customHeight="1" x14ac:dyDescent="0.25">
      <c r="A272" s="17">
        <f t="shared" ref="A272:A335" si="18">ROW(A258)</f>
        <v>258</v>
      </c>
      <c r="B272" s="229"/>
      <c r="C272" s="222"/>
      <c r="D272" s="112"/>
      <c r="E272" s="128"/>
      <c r="F272" s="183"/>
      <c r="G272" s="130"/>
      <c r="H272" s="131"/>
      <c r="I272" s="132"/>
      <c r="J272" s="189"/>
      <c r="K272" s="133"/>
      <c r="L272" s="134"/>
      <c r="M272" s="334"/>
      <c r="N272" s="343"/>
      <c r="O272" s="192"/>
      <c r="P272" s="191"/>
      <c r="Q272" s="192"/>
      <c r="R272" s="191"/>
      <c r="S272" s="295"/>
      <c r="T272" s="301"/>
      <c r="U272" s="306"/>
      <c r="V272" s="308"/>
      <c r="W272" s="249"/>
      <c r="X272" s="344"/>
      <c r="Y272" s="337"/>
      <c r="Z272" s="33"/>
      <c r="AA272" s="83"/>
      <c r="AB272" s="33"/>
      <c r="AC272" s="83"/>
      <c r="AD272" s="33"/>
      <c r="AE272" s="83"/>
      <c r="AF272" s="33"/>
      <c r="AG272" s="244"/>
      <c r="AH272" s="83"/>
      <c r="AI272" s="246"/>
      <c r="AJ272" s="102"/>
      <c r="AK272" s="92"/>
      <c r="AL272" s="91"/>
      <c r="AM272" s="92"/>
      <c r="AN272" s="351"/>
      <c r="AO272" s="197">
        <f t="shared" ref="AO272:AO335" si="19">AJ272-AK272-AL272-AM272-AN272</f>
        <v>0</v>
      </c>
      <c r="AP272" s="91"/>
      <c r="AQ272" s="217"/>
      <c r="AR272" s="83"/>
      <c r="AS272" s="267"/>
      <c r="AT272" s="94"/>
      <c r="AU272" s="84"/>
      <c r="AV272" s="136"/>
      <c r="AW272" s="81"/>
      <c r="AX272" s="137"/>
      <c r="AY272" s="138"/>
      <c r="AZ272" s="220">
        <f t="shared" si="16"/>
        <v>0</v>
      </c>
      <c r="BA272" s="220">
        <f t="shared" si="17"/>
        <v>0</v>
      </c>
    </row>
    <row r="273" spans="1:53" ht="50.1" customHeight="1" x14ac:dyDescent="0.25">
      <c r="A273" s="17">
        <f t="shared" si="18"/>
        <v>259</v>
      </c>
      <c r="B273" s="228"/>
      <c r="C273" s="221"/>
      <c r="D273" s="88"/>
      <c r="E273" s="100"/>
      <c r="F273" s="95"/>
      <c r="G273" s="114"/>
      <c r="H273" s="96"/>
      <c r="I273" s="97"/>
      <c r="J273" s="98"/>
      <c r="K273" s="101"/>
      <c r="L273" s="124"/>
      <c r="M273" s="333"/>
      <c r="N273" s="341"/>
      <c r="O273" s="190"/>
      <c r="P273" s="191"/>
      <c r="Q273" s="190"/>
      <c r="R273" s="191"/>
      <c r="S273" s="294"/>
      <c r="T273" s="300"/>
      <c r="U273" s="306"/>
      <c r="V273" s="308"/>
      <c r="W273" s="248"/>
      <c r="X273" s="342"/>
      <c r="Y273" s="337"/>
      <c r="Z273" s="123"/>
      <c r="AA273" s="83"/>
      <c r="AB273" s="123"/>
      <c r="AC273" s="83"/>
      <c r="AD273" s="123"/>
      <c r="AE273" s="83"/>
      <c r="AF273" s="123"/>
      <c r="AG273" s="243"/>
      <c r="AH273" s="33"/>
      <c r="AI273" s="245"/>
      <c r="AJ273" s="125"/>
      <c r="AK273" s="92"/>
      <c r="AL273" s="126"/>
      <c r="AM273" s="91"/>
      <c r="AN273" s="91"/>
      <c r="AO273" s="197">
        <f t="shared" si="19"/>
        <v>0</v>
      </c>
      <c r="AP273" s="126"/>
      <c r="AQ273" s="217"/>
      <c r="AR273" s="123"/>
      <c r="AS273" s="268"/>
      <c r="AT273" s="94"/>
      <c r="AU273" s="84"/>
      <c r="AV273" s="80"/>
      <c r="AW273" s="81"/>
      <c r="AX273" s="77"/>
      <c r="AY273" s="107"/>
      <c r="AZ273" s="220">
        <f t="shared" si="16"/>
        <v>0</v>
      </c>
      <c r="BA273" s="220">
        <f t="shared" si="17"/>
        <v>0</v>
      </c>
    </row>
    <row r="274" spans="1:53" ht="50.1" customHeight="1" x14ac:dyDescent="0.25">
      <c r="A274" s="17">
        <f t="shared" si="18"/>
        <v>260</v>
      </c>
      <c r="B274" s="229"/>
      <c r="C274" s="222"/>
      <c r="D274" s="112"/>
      <c r="E274" s="128"/>
      <c r="F274" s="183"/>
      <c r="G274" s="130"/>
      <c r="H274" s="131"/>
      <c r="I274" s="132"/>
      <c r="J274" s="189"/>
      <c r="K274" s="133"/>
      <c r="L274" s="134"/>
      <c r="M274" s="334"/>
      <c r="N274" s="343"/>
      <c r="O274" s="192"/>
      <c r="P274" s="191"/>
      <c r="Q274" s="192"/>
      <c r="R274" s="191"/>
      <c r="S274" s="295"/>
      <c r="T274" s="301"/>
      <c r="U274" s="306"/>
      <c r="V274" s="308"/>
      <c r="W274" s="249"/>
      <c r="X274" s="344"/>
      <c r="Y274" s="337"/>
      <c r="Z274" s="33"/>
      <c r="AA274" s="83"/>
      <c r="AB274" s="33"/>
      <c r="AC274" s="83"/>
      <c r="AD274" s="33"/>
      <c r="AE274" s="83"/>
      <c r="AF274" s="33"/>
      <c r="AG274" s="244"/>
      <c r="AH274" s="83"/>
      <c r="AI274" s="246"/>
      <c r="AJ274" s="102"/>
      <c r="AK274" s="92"/>
      <c r="AL274" s="91"/>
      <c r="AM274" s="92"/>
      <c r="AN274" s="351"/>
      <c r="AO274" s="197">
        <f t="shared" si="19"/>
        <v>0</v>
      </c>
      <c r="AP274" s="91"/>
      <c r="AQ274" s="217"/>
      <c r="AR274" s="83"/>
      <c r="AS274" s="267"/>
      <c r="AT274" s="94"/>
      <c r="AU274" s="84"/>
      <c r="AV274" s="136"/>
      <c r="AW274" s="81"/>
      <c r="AX274" s="137"/>
      <c r="AY274" s="138"/>
      <c r="AZ274" s="220">
        <f t="shared" si="16"/>
        <v>0</v>
      </c>
      <c r="BA274" s="220">
        <f t="shared" si="17"/>
        <v>0</v>
      </c>
    </row>
    <row r="275" spans="1:53" ht="50.1" customHeight="1" x14ac:dyDescent="0.25">
      <c r="A275" s="17">
        <f t="shared" si="18"/>
        <v>261</v>
      </c>
      <c r="B275" s="228"/>
      <c r="C275" s="221"/>
      <c r="D275" s="88"/>
      <c r="E275" s="100"/>
      <c r="F275" s="95"/>
      <c r="G275" s="114"/>
      <c r="H275" s="96"/>
      <c r="I275" s="97"/>
      <c r="J275" s="98"/>
      <c r="K275" s="101"/>
      <c r="L275" s="124"/>
      <c r="M275" s="333"/>
      <c r="N275" s="341"/>
      <c r="O275" s="190"/>
      <c r="P275" s="191"/>
      <c r="Q275" s="190"/>
      <c r="R275" s="191"/>
      <c r="S275" s="294"/>
      <c r="T275" s="300"/>
      <c r="U275" s="306"/>
      <c r="V275" s="308"/>
      <c r="W275" s="248"/>
      <c r="X275" s="342"/>
      <c r="Y275" s="337"/>
      <c r="Z275" s="123"/>
      <c r="AA275" s="83"/>
      <c r="AB275" s="123"/>
      <c r="AC275" s="83"/>
      <c r="AD275" s="123"/>
      <c r="AE275" s="83"/>
      <c r="AF275" s="123"/>
      <c r="AG275" s="243"/>
      <c r="AH275" s="33"/>
      <c r="AI275" s="245"/>
      <c r="AJ275" s="125"/>
      <c r="AK275" s="92"/>
      <c r="AL275" s="126"/>
      <c r="AM275" s="91"/>
      <c r="AN275" s="91"/>
      <c r="AO275" s="197">
        <f t="shared" si="19"/>
        <v>0</v>
      </c>
      <c r="AP275" s="126"/>
      <c r="AQ275" s="217"/>
      <c r="AR275" s="201"/>
      <c r="AS275" s="266"/>
      <c r="AT275" s="94"/>
      <c r="AU275" s="84"/>
      <c r="AV275" s="80"/>
      <c r="AW275" s="81"/>
      <c r="AX275" s="77"/>
      <c r="AY275" s="107"/>
      <c r="AZ275" s="220">
        <f t="shared" si="16"/>
        <v>0</v>
      </c>
      <c r="BA275" s="220">
        <f t="shared" si="17"/>
        <v>0</v>
      </c>
    </row>
    <row r="276" spans="1:53" ht="50.1" customHeight="1" x14ac:dyDescent="0.25">
      <c r="A276" s="17">
        <f t="shared" si="18"/>
        <v>262</v>
      </c>
      <c r="B276" s="229"/>
      <c r="C276" s="222"/>
      <c r="D276" s="112"/>
      <c r="E276" s="128"/>
      <c r="F276" s="183"/>
      <c r="G276" s="130"/>
      <c r="H276" s="131"/>
      <c r="I276" s="132"/>
      <c r="J276" s="189"/>
      <c r="K276" s="133"/>
      <c r="L276" s="134"/>
      <c r="M276" s="334"/>
      <c r="N276" s="343"/>
      <c r="O276" s="192"/>
      <c r="P276" s="191"/>
      <c r="Q276" s="192"/>
      <c r="R276" s="191"/>
      <c r="S276" s="295"/>
      <c r="T276" s="301"/>
      <c r="U276" s="306"/>
      <c r="V276" s="308"/>
      <c r="W276" s="249"/>
      <c r="X276" s="344"/>
      <c r="Y276" s="337"/>
      <c r="Z276" s="33"/>
      <c r="AA276" s="83"/>
      <c r="AB276" s="33"/>
      <c r="AC276" s="83"/>
      <c r="AD276" s="33"/>
      <c r="AE276" s="83"/>
      <c r="AF276" s="33"/>
      <c r="AG276" s="244"/>
      <c r="AH276" s="83"/>
      <c r="AI276" s="246"/>
      <c r="AJ276" s="102"/>
      <c r="AK276" s="92"/>
      <c r="AL276" s="91"/>
      <c r="AM276" s="92"/>
      <c r="AN276" s="351"/>
      <c r="AO276" s="197">
        <f t="shared" si="19"/>
        <v>0</v>
      </c>
      <c r="AP276" s="91"/>
      <c r="AQ276" s="217"/>
      <c r="AR276" s="83"/>
      <c r="AS276" s="267"/>
      <c r="AT276" s="94"/>
      <c r="AU276" s="84"/>
      <c r="AV276" s="136"/>
      <c r="AW276" s="81"/>
      <c r="AX276" s="137"/>
      <c r="AY276" s="138"/>
      <c r="AZ276" s="220">
        <f t="shared" si="16"/>
        <v>0</v>
      </c>
      <c r="BA276" s="220">
        <f t="shared" si="17"/>
        <v>0</v>
      </c>
    </row>
    <row r="277" spans="1:53" ht="50.1" customHeight="1" x14ac:dyDescent="0.25">
      <c r="A277" s="17">
        <f t="shared" si="18"/>
        <v>263</v>
      </c>
      <c r="B277" s="228"/>
      <c r="C277" s="221"/>
      <c r="D277" s="88"/>
      <c r="E277" s="100"/>
      <c r="F277" s="95"/>
      <c r="G277" s="114"/>
      <c r="H277" s="96"/>
      <c r="I277" s="97"/>
      <c r="J277" s="98"/>
      <c r="K277" s="101"/>
      <c r="L277" s="124"/>
      <c r="M277" s="333"/>
      <c r="N277" s="341"/>
      <c r="O277" s="190"/>
      <c r="P277" s="191"/>
      <c r="Q277" s="190"/>
      <c r="R277" s="191"/>
      <c r="S277" s="294"/>
      <c r="T277" s="300"/>
      <c r="U277" s="306"/>
      <c r="V277" s="308"/>
      <c r="W277" s="248"/>
      <c r="X277" s="342"/>
      <c r="Y277" s="337"/>
      <c r="Z277" s="123"/>
      <c r="AA277" s="83"/>
      <c r="AB277" s="123"/>
      <c r="AC277" s="83"/>
      <c r="AD277" s="123"/>
      <c r="AE277" s="83"/>
      <c r="AF277" s="123"/>
      <c r="AG277" s="243"/>
      <c r="AH277" s="33"/>
      <c r="AI277" s="245"/>
      <c r="AJ277" s="125"/>
      <c r="AK277" s="92"/>
      <c r="AL277" s="126"/>
      <c r="AM277" s="91"/>
      <c r="AN277" s="91"/>
      <c r="AO277" s="197">
        <f t="shared" si="19"/>
        <v>0</v>
      </c>
      <c r="AP277" s="126"/>
      <c r="AQ277" s="217"/>
      <c r="AR277" s="201"/>
      <c r="AS277" s="266"/>
      <c r="AT277" s="94"/>
      <c r="AU277" s="84"/>
      <c r="AV277" s="80"/>
      <c r="AW277" s="81"/>
      <c r="AX277" s="77"/>
      <c r="AY277" s="107"/>
      <c r="AZ277" s="220">
        <f t="shared" si="16"/>
        <v>0</v>
      </c>
      <c r="BA277" s="220">
        <f t="shared" si="17"/>
        <v>0</v>
      </c>
    </row>
    <row r="278" spans="1:53" ht="50.1" customHeight="1" x14ac:dyDescent="0.25">
      <c r="A278" s="17">
        <f t="shared" si="18"/>
        <v>264</v>
      </c>
      <c r="B278" s="229"/>
      <c r="C278" s="222"/>
      <c r="D278" s="112"/>
      <c r="E278" s="128"/>
      <c r="F278" s="183"/>
      <c r="G278" s="130"/>
      <c r="H278" s="131"/>
      <c r="I278" s="132"/>
      <c r="J278" s="189"/>
      <c r="K278" s="133"/>
      <c r="L278" s="134"/>
      <c r="M278" s="334"/>
      <c r="N278" s="343"/>
      <c r="O278" s="192"/>
      <c r="P278" s="191"/>
      <c r="Q278" s="192"/>
      <c r="R278" s="191"/>
      <c r="S278" s="295"/>
      <c r="T278" s="301"/>
      <c r="U278" s="306"/>
      <c r="V278" s="308"/>
      <c r="W278" s="249"/>
      <c r="X278" s="344"/>
      <c r="Y278" s="337"/>
      <c r="Z278" s="33"/>
      <c r="AA278" s="83"/>
      <c r="AB278" s="33"/>
      <c r="AC278" s="83"/>
      <c r="AD278" s="33"/>
      <c r="AE278" s="83"/>
      <c r="AF278" s="33"/>
      <c r="AG278" s="244"/>
      <c r="AH278" s="83"/>
      <c r="AI278" s="246"/>
      <c r="AJ278" s="195"/>
      <c r="AK278" s="92"/>
      <c r="AL278" s="91"/>
      <c r="AM278" s="92"/>
      <c r="AN278" s="351"/>
      <c r="AO278" s="197">
        <f t="shared" si="19"/>
        <v>0</v>
      </c>
      <c r="AP278" s="91"/>
      <c r="AQ278" s="217"/>
      <c r="AR278" s="83"/>
      <c r="AS278" s="267"/>
      <c r="AT278" s="94"/>
      <c r="AU278" s="84"/>
      <c r="AV278" s="136"/>
      <c r="AW278" s="81"/>
      <c r="AX278" s="137"/>
      <c r="AY278" s="138"/>
      <c r="AZ278" s="220">
        <f t="shared" si="16"/>
        <v>0</v>
      </c>
      <c r="BA278" s="220">
        <f t="shared" si="17"/>
        <v>0</v>
      </c>
    </row>
    <row r="279" spans="1:53" ht="50.1" customHeight="1" x14ac:dyDescent="0.25">
      <c r="A279" s="17">
        <f t="shared" si="18"/>
        <v>265</v>
      </c>
      <c r="B279" s="228"/>
      <c r="C279" s="221"/>
      <c r="D279" s="88"/>
      <c r="E279" s="100"/>
      <c r="F279" s="95"/>
      <c r="G279" s="114"/>
      <c r="H279" s="96"/>
      <c r="I279" s="97"/>
      <c r="J279" s="98"/>
      <c r="K279" s="101"/>
      <c r="L279" s="124"/>
      <c r="M279" s="333"/>
      <c r="N279" s="341"/>
      <c r="O279" s="190"/>
      <c r="P279" s="191"/>
      <c r="Q279" s="190"/>
      <c r="R279" s="191"/>
      <c r="S279" s="294"/>
      <c r="T279" s="300"/>
      <c r="U279" s="306"/>
      <c r="V279" s="308"/>
      <c r="W279" s="248"/>
      <c r="X279" s="342"/>
      <c r="Y279" s="337"/>
      <c r="Z279" s="123"/>
      <c r="AA279" s="83"/>
      <c r="AB279" s="123"/>
      <c r="AC279" s="83"/>
      <c r="AD279" s="123"/>
      <c r="AE279" s="83"/>
      <c r="AF279" s="123"/>
      <c r="AG279" s="243"/>
      <c r="AH279" s="33"/>
      <c r="AI279" s="245"/>
      <c r="AJ279" s="125"/>
      <c r="AK279" s="92"/>
      <c r="AL279" s="126"/>
      <c r="AM279" s="91"/>
      <c r="AN279" s="91"/>
      <c r="AO279" s="197">
        <f t="shared" si="19"/>
        <v>0</v>
      </c>
      <c r="AP279" s="126"/>
      <c r="AQ279" s="217"/>
      <c r="AR279" s="201"/>
      <c r="AS279" s="266"/>
      <c r="AT279" s="94"/>
      <c r="AU279" s="84"/>
      <c r="AV279" s="80"/>
      <c r="AW279" s="81"/>
      <c r="AX279" s="77"/>
      <c r="AY279" s="107"/>
      <c r="AZ279" s="220">
        <f t="shared" si="16"/>
        <v>0</v>
      </c>
      <c r="BA279" s="220">
        <f t="shared" si="17"/>
        <v>0</v>
      </c>
    </row>
    <row r="280" spans="1:53" ht="50.1" customHeight="1" x14ac:dyDescent="0.25">
      <c r="A280" s="17">
        <f t="shared" si="18"/>
        <v>266</v>
      </c>
      <c r="B280" s="229"/>
      <c r="C280" s="222"/>
      <c r="D280" s="112"/>
      <c r="E280" s="128"/>
      <c r="F280" s="183"/>
      <c r="G280" s="130"/>
      <c r="H280" s="131"/>
      <c r="I280" s="132"/>
      <c r="J280" s="189"/>
      <c r="K280" s="133"/>
      <c r="L280" s="134"/>
      <c r="M280" s="334"/>
      <c r="N280" s="343"/>
      <c r="O280" s="192"/>
      <c r="P280" s="191"/>
      <c r="Q280" s="192"/>
      <c r="R280" s="191"/>
      <c r="S280" s="295"/>
      <c r="T280" s="301"/>
      <c r="U280" s="306"/>
      <c r="V280" s="308"/>
      <c r="W280" s="249"/>
      <c r="X280" s="344"/>
      <c r="Y280" s="337"/>
      <c r="Z280" s="33"/>
      <c r="AA280" s="83"/>
      <c r="AB280" s="33"/>
      <c r="AC280" s="83"/>
      <c r="AD280" s="33"/>
      <c r="AE280" s="83"/>
      <c r="AF280" s="33"/>
      <c r="AG280" s="244"/>
      <c r="AH280" s="83"/>
      <c r="AI280" s="246"/>
      <c r="AJ280" s="102"/>
      <c r="AK280" s="92"/>
      <c r="AL280" s="91"/>
      <c r="AM280" s="92"/>
      <c r="AN280" s="351"/>
      <c r="AO280" s="197">
        <f t="shared" si="19"/>
        <v>0</v>
      </c>
      <c r="AP280" s="91"/>
      <c r="AQ280" s="217"/>
      <c r="AR280" s="83"/>
      <c r="AS280" s="267"/>
      <c r="AT280" s="94"/>
      <c r="AU280" s="84"/>
      <c r="AV280" s="136"/>
      <c r="AW280" s="81"/>
      <c r="AX280" s="137"/>
      <c r="AY280" s="138"/>
      <c r="AZ280" s="220">
        <f t="shared" si="16"/>
        <v>0</v>
      </c>
      <c r="BA280" s="220">
        <f t="shared" si="17"/>
        <v>0</v>
      </c>
    </row>
    <row r="281" spans="1:53" ht="50.1" customHeight="1" x14ac:dyDescent="0.25">
      <c r="A281" s="17">
        <f t="shared" si="18"/>
        <v>267</v>
      </c>
      <c r="B281" s="228"/>
      <c r="C281" s="221"/>
      <c r="D281" s="180"/>
      <c r="E281" s="100"/>
      <c r="F281" s="95"/>
      <c r="G281" s="114"/>
      <c r="H281" s="96"/>
      <c r="I281" s="97"/>
      <c r="J281" s="98"/>
      <c r="K281" s="101"/>
      <c r="L281" s="124"/>
      <c r="M281" s="333"/>
      <c r="N281" s="341"/>
      <c r="O281" s="190"/>
      <c r="P281" s="191"/>
      <c r="Q281" s="190"/>
      <c r="R281" s="191"/>
      <c r="S281" s="294"/>
      <c r="T281" s="300"/>
      <c r="U281" s="306"/>
      <c r="V281" s="308"/>
      <c r="W281" s="248"/>
      <c r="X281" s="342"/>
      <c r="Y281" s="337"/>
      <c r="Z281" s="123"/>
      <c r="AA281" s="83"/>
      <c r="AB281" s="123"/>
      <c r="AC281" s="83"/>
      <c r="AD281" s="123"/>
      <c r="AE281" s="83"/>
      <c r="AF281" s="123"/>
      <c r="AG281" s="243"/>
      <c r="AH281" s="33"/>
      <c r="AI281" s="245"/>
      <c r="AJ281" s="125"/>
      <c r="AK281" s="92"/>
      <c r="AL281" s="126"/>
      <c r="AM281" s="91"/>
      <c r="AN281" s="91"/>
      <c r="AO281" s="197">
        <f t="shared" si="19"/>
        <v>0</v>
      </c>
      <c r="AP281" s="126"/>
      <c r="AQ281" s="217"/>
      <c r="AR281" s="123"/>
      <c r="AS281" s="268"/>
      <c r="AT281" s="94"/>
      <c r="AU281" s="84"/>
      <c r="AV281" s="80"/>
      <c r="AW281" s="81"/>
      <c r="AX281" s="77"/>
      <c r="AY281" s="107"/>
      <c r="AZ281" s="220">
        <f t="shared" si="16"/>
        <v>0</v>
      </c>
      <c r="BA281" s="220">
        <f t="shared" si="17"/>
        <v>0</v>
      </c>
    </row>
    <row r="282" spans="1:53" ht="50.1" customHeight="1" x14ac:dyDescent="0.25">
      <c r="A282" s="17">
        <f t="shared" si="18"/>
        <v>268</v>
      </c>
      <c r="B282" s="229"/>
      <c r="C282" s="222"/>
      <c r="D282" s="181"/>
      <c r="E282" s="128"/>
      <c r="F282" s="184"/>
      <c r="G282" s="130"/>
      <c r="H282" s="186"/>
      <c r="I282" s="187"/>
      <c r="J282" s="189"/>
      <c r="K282" s="133"/>
      <c r="L282" s="134"/>
      <c r="M282" s="334"/>
      <c r="N282" s="343"/>
      <c r="O282" s="192"/>
      <c r="P282" s="191"/>
      <c r="Q282" s="192"/>
      <c r="R282" s="191"/>
      <c r="S282" s="295"/>
      <c r="T282" s="301"/>
      <c r="U282" s="306"/>
      <c r="V282" s="308"/>
      <c r="W282" s="249"/>
      <c r="X282" s="345"/>
      <c r="Y282" s="337"/>
      <c r="Z282" s="33"/>
      <c r="AA282" s="83"/>
      <c r="AB282" s="33"/>
      <c r="AC282" s="83"/>
      <c r="AD282" s="33"/>
      <c r="AE282" s="83"/>
      <c r="AF282" s="33"/>
      <c r="AG282" s="244"/>
      <c r="AH282" s="83"/>
      <c r="AI282" s="246"/>
      <c r="AJ282" s="102"/>
      <c r="AK282" s="92"/>
      <c r="AL282" s="91"/>
      <c r="AM282" s="92"/>
      <c r="AN282" s="351"/>
      <c r="AO282" s="197">
        <f t="shared" si="19"/>
        <v>0</v>
      </c>
      <c r="AP282" s="91"/>
      <c r="AQ282" s="217"/>
      <c r="AR282" s="83"/>
      <c r="AS282" s="267"/>
      <c r="AT282" s="94"/>
      <c r="AU282" s="84"/>
      <c r="AV282" s="136"/>
      <c r="AW282" s="81"/>
      <c r="AX282" s="137"/>
      <c r="AY282" s="138"/>
      <c r="AZ282" s="220">
        <f t="shared" si="16"/>
        <v>0</v>
      </c>
      <c r="BA282" s="220">
        <f t="shared" si="17"/>
        <v>0</v>
      </c>
    </row>
    <row r="283" spans="1:53" ht="50.1" customHeight="1" x14ac:dyDescent="0.25">
      <c r="A283" s="17">
        <f t="shared" si="18"/>
        <v>269</v>
      </c>
      <c r="B283" s="228"/>
      <c r="C283" s="221"/>
      <c r="D283" s="180"/>
      <c r="E283" s="100"/>
      <c r="F283" s="182"/>
      <c r="G283" s="114"/>
      <c r="H283" s="185"/>
      <c r="I283" s="108"/>
      <c r="J283" s="98"/>
      <c r="K283" s="101"/>
      <c r="L283" s="124"/>
      <c r="M283" s="333"/>
      <c r="N283" s="341"/>
      <c r="O283" s="190"/>
      <c r="P283" s="191"/>
      <c r="Q283" s="190"/>
      <c r="R283" s="191"/>
      <c r="S283" s="294"/>
      <c r="T283" s="300"/>
      <c r="U283" s="306"/>
      <c r="V283" s="308"/>
      <c r="W283" s="248"/>
      <c r="X283" s="342"/>
      <c r="Y283" s="337"/>
      <c r="Z283" s="123"/>
      <c r="AA283" s="83"/>
      <c r="AB283" s="123"/>
      <c r="AC283" s="83"/>
      <c r="AD283" s="123"/>
      <c r="AE283" s="83"/>
      <c r="AF283" s="123"/>
      <c r="AG283" s="243"/>
      <c r="AH283" s="33"/>
      <c r="AI283" s="245"/>
      <c r="AJ283" s="125"/>
      <c r="AK283" s="92"/>
      <c r="AL283" s="126"/>
      <c r="AM283" s="91"/>
      <c r="AN283" s="91"/>
      <c r="AO283" s="197">
        <f t="shared" si="19"/>
        <v>0</v>
      </c>
      <c r="AP283" s="126"/>
      <c r="AQ283" s="217"/>
      <c r="AR283" s="201"/>
      <c r="AS283" s="266"/>
      <c r="AT283" s="94"/>
      <c r="AU283" s="84"/>
      <c r="AV283" s="80"/>
      <c r="AW283" s="81"/>
      <c r="AX283" s="77"/>
      <c r="AY283" s="107"/>
      <c r="AZ283" s="220">
        <f t="shared" si="16"/>
        <v>0</v>
      </c>
      <c r="BA283" s="220">
        <f t="shared" si="17"/>
        <v>0</v>
      </c>
    </row>
    <row r="284" spans="1:53" ht="50.1" customHeight="1" x14ac:dyDescent="0.25">
      <c r="A284" s="17">
        <f t="shared" si="18"/>
        <v>270</v>
      </c>
      <c r="B284" s="229"/>
      <c r="C284" s="222"/>
      <c r="D284" s="181"/>
      <c r="E284" s="128"/>
      <c r="F284" s="184"/>
      <c r="G284" s="130"/>
      <c r="H284" s="186"/>
      <c r="I284" s="187"/>
      <c r="J284" s="189"/>
      <c r="K284" s="133"/>
      <c r="L284" s="134"/>
      <c r="M284" s="334"/>
      <c r="N284" s="343"/>
      <c r="O284" s="193"/>
      <c r="P284" s="191"/>
      <c r="Q284" s="193"/>
      <c r="R284" s="191"/>
      <c r="S284" s="296"/>
      <c r="T284" s="302"/>
      <c r="U284" s="306"/>
      <c r="V284" s="308"/>
      <c r="W284" s="249"/>
      <c r="X284" s="344"/>
      <c r="Y284" s="337"/>
      <c r="Z284" s="33"/>
      <c r="AA284" s="83"/>
      <c r="AB284" s="33"/>
      <c r="AC284" s="83"/>
      <c r="AD284" s="33"/>
      <c r="AE284" s="83"/>
      <c r="AF284" s="33"/>
      <c r="AG284" s="244"/>
      <c r="AH284" s="83"/>
      <c r="AI284" s="246"/>
      <c r="AJ284" s="102"/>
      <c r="AK284" s="92"/>
      <c r="AL284" s="91"/>
      <c r="AM284" s="92"/>
      <c r="AN284" s="351"/>
      <c r="AO284" s="197">
        <f t="shared" si="19"/>
        <v>0</v>
      </c>
      <c r="AP284" s="91"/>
      <c r="AQ284" s="217"/>
      <c r="AR284" s="83"/>
      <c r="AS284" s="267"/>
      <c r="AT284" s="94"/>
      <c r="AU284" s="84"/>
      <c r="AV284" s="136"/>
      <c r="AW284" s="81"/>
      <c r="AX284" s="137"/>
      <c r="AY284" s="138"/>
      <c r="AZ284" s="220">
        <f t="shared" si="16"/>
        <v>0</v>
      </c>
      <c r="BA284" s="220">
        <f t="shared" si="17"/>
        <v>0</v>
      </c>
    </row>
    <row r="285" spans="1:53" ht="50.1" customHeight="1" x14ac:dyDescent="0.25">
      <c r="A285" s="17">
        <f t="shared" si="18"/>
        <v>271</v>
      </c>
      <c r="B285" s="228"/>
      <c r="C285" s="221"/>
      <c r="D285" s="180"/>
      <c r="E285" s="100"/>
      <c r="F285" s="182"/>
      <c r="G285" s="114"/>
      <c r="H285" s="185"/>
      <c r="I285" s="108"/>
      <c r="J285" s="98"/>
      <c r="K285" s="101"/>
      <c r="L285" s="124"/>
      <c r="M285" s="333"/>
      <c r="N285" s="341"/>
      <c r="O285" s="190"/>
      <c r="P285" s="191"/>
      <c r="Q285" s="190"/>
      <c r="R285" s="191"/>
      <c r="S285" s="294"/>
      <c r="T285" s="300"/>
      <c r="U285" s="306"/>
      <c r="V285" s="308"/>
      <c r="W285" s="248"/>
      <c r="X285" s="342"/>
      <c r="Y285" s="337"/>
      <c r="Z285" s="123"/>
      <c r="AA285" s="83"/>
      <c r="AB285" s="123"/>
      <c r="AC285" s="83"/>
      <c r="AD285" s="123"/>
      <c r="AE285" s="83"/>
      <c r="AF285" s="123"/>
      <c r="AG285" s="243"/>
      <c r="AH285" s="33"/>
      <c r="AI285" s="245"/>
      <c r="AJ285" s="125"/>
      <c r="AK285" s="92"/>
      <c r="AL285" s="126"/>
      <c r="AM285" s="91"/>
      <c r="AN285" s="91"/>
      <c r="AO285" s="197">
        <f t="shared" si="19"/>
        <v>0</v>
      </c>
      <c r="AP285" s="126"/>
      <c r="AQ285" s="217"/>
      <c r="AR285" s="200"/>
      <c r="AS285" s="263"/>
      <c r="AT285" s="94"/>
      <c r="AU285" s="84"/>
      <c r="AV285" s="80"/>
      <c r="AW285" s="81"/>
      <c r="AX285" s="77"/>
      <c r="AY285" s="107"/>
      <c r="AZ285" s="220">
        <f t="shared" si="16"/>
        <v>0</v>
      </c>
      <c r="BA285" s="220">
        <f t="shared" si="17"/>
        <v>0</v>
      </c>
    </row>
    <row r="286" spans="1:53" ht="50.1" customHeight="1" x14ac:dyDescent="0.25">
      <c r="A286" s="17">
        <f t="shared" si="18"/>
        <v>272</v>
      </c>
      <c r="B286" s="229"/>
      <c r="C286" s="222"/>
      <c r="D286" s="181"/>
      <c r="E286" s="128"/>
      <c r="F286" s="184"/>
      <c r="G286" s="130"/>
      <c r="H286" s="186"/>
      <c r="I286" s="187"/>
      <c r="J286" s="189"/>
      <c r="K286" s="133"/>
      <c r="L286" s="134"/>
      <c r="M286" s="334"/>
      <c r="N286" s="343"/>
      <c r="O286" s="192"/>
      <c r="P286" s="191"/>
      <c r="Q286" s="192"/>
      <c r="R286" s="191"/>
      <c r="S286" s="295"/>
      <c r="T286" s="301"/>
      <c r="U286" s="306"/>
      <c r="V286" s="308"/>
      <c r="W286" s="249"/>
      <c r="X286" s="344"/>
      <c r="Y286" s="337"/>
      <c r="Z286" s="33"/>
      <c r="AA286" s="83"/>
      <c r="AB286" s="33"/>
      <c r="AC286" s="83"/>
      <c r="AD286" s="33"/>
      <c r="AE286" s="83"/>
      <c r="AF286" s="33"/>
      <c r="AG286" s="244"/>
      <c r="AH286" s="83"/>
      <c r="AI286" s="246"/>
      <c r="AJ286" s="102"/>
      <c r="AK286" s="92"/>
      <c r="AL286" s="91"/>
      <c r="AM286" s="92"/>
      <c r="AN286" s="351"/>
      <c r="AO286" s="197">
        <f t="shared" si="19"/>
        <v>0</v>
      </c>
      <c r="AP286" s="91"/>
      <c r="AQ286" s="217"/>
      <c r="AR286" s="103"/>
      <c r="AS286" s="264"/>
      <c r="AT286" s="94"/>
      <c r="AU286" s="84"/>
      <c r="AV286" s="136"/>
      <c r="AW286" s="81"/>
      <c r="AX286" s="137"/>
      <c r="AY286" s="138"/>
      <c r="AZ286" s="220">
        <f t="shared" si="16"/>
        <v>0</v>
      </c>
      <c r="BA286" s="220">
        <f t="shared" si="17"/>
        <v>0</v>
      </c>
    </row>
    <row r="287" spans="1:53" ht="50.1" customHeight="1" x14ac:dyDescent="0.25">
      <c r="A287" s="17">
        <f t="shared" si="18"/>
        <v>273</v>
      </c>
      <c r="B287" s="228"/>
      <c r="C287" s="221"/>
      <c r="D287" s="180"/>
      <c r="E287" s="100"/>
      <c r="F287" s="182"/>
      <c r="G287" s="114"/>
      <c r="H287" s="185"/>
      <c r="I287" s="108"/>
      <c r="J287" s="98"/>
      <c r="K287" s="101"/>
      <c r="L287" s="124"/>
      <c r="M287" s="333"/>
      <c r="N287" s="341"/>
      <c r="O287" s="190"/>
      <c r="P287" s="191"/>
      <c r="Q287" s="190"/>
      <c r="R287" s="191"/>
      <c r="S287" s="294"/>
      <c r="T287" s="300"/>
      <c r="U287" s="306"/>
      <c r="V287" s="308"/>
      <c r="W287" s="248"/>
      <c r="X287" s="342"/>
      <c r="Y287" s="337"/>
      <c r="Z287" s="123"/>
      <c r="AA287" s="83"/>
      <c r="AB287" s="123"/>
      <c r="AC287" s="83"/>
      <c r="AD287" s="123"/>
      <c r="AE287" s="83"/>
      <c r="AF287" s="123"/>
      <c r="AG287" s="243"/>
      <c r="AH287" s="33"/>
      <c r="AI287" s="245"/>
      <c r="AJ287" s="125"/>
      <c r="AK287" s="92"/>
      <c r="AL287" s="126"/>
      <c r="AM287" s="91"/>
      <c r="AN287" s="91"/>
      <c r="AO287" s="197">
        <f t="shared" si="19"/>
        <v>0</v>
      </c>
      <c r="AP287" s="126"/>
      <c r="AQ287" s="217"/>
      <c r="AR287" s="200"/>
      <c r="AS287" s="263"/>
      <c r="AT287" s="94"/>
      <c r="AU287" s="84"/>
      <c r="AV287" s="80"/>
      <c r="AW287" s="81"/>
      <c r="AX287" s="77"/>
      <c r="AY287" s="107"/>
      <c r="AZ287" s="220">
        <f t="shared" si="16"/>
        <v>0</v>
      </c>
      <c r="BA287" s="220">
        <f t="shared" si="17"/>
        <v>0</v>
      </c>
    </row>
    <row r="288" spans="1:53" ht="50.1" customHeight="1" x14ac:dyDescent="0.25">
      <c r="A288" s="17">
        <f t="shared" si="18"/>
        <v>274</v>
      </c>
      <c r="B288" s="229"/>
      <c r="C288" s="222"/>
      <c r="D288" s="112"/>
      <c r="E288" s="128"/>
      <c r="F288" s="183"/>
      <c r="G288" s="130"/>
      <c r="H288" s="131"/>
      <c r="I288" s="132"/>
      <c r="J288" s="189"/>
      <c r="K288" s="133"/>
      <c r="L288" s="134"/>
      <c r="M288" s="334"/>
      <c r="N288" s="343"/>
      <c r="O288" s="192"/>
      <c r="P288" s="191"/>
      <c r="Q288" s="192"/>
      <c r="R288" s="191"/>
      <c r="S288" s="295"/>
      <c r="T288" s="301"/>
      <c r="U288" s="306"/>
      <c r="V288" s="308"/>
      <c r="W288" s="249"/>
      <c r="X288" s="344"/>
      <c r="Y288" s="337"/>
      <c r="Z288" s="33"/>
      <c r="AA288" s="83"/>
      <c r="AB288" s="33"/>
      <c r="AC288" s="83"/>
      <c r="AD288" s="33"/>
      <c r="AE288" s="83"/>
      <c r="AF288" s="33"/>
      <c r="AG288" s="244"/>
      <c r="AH288" s="83"/>
      <c r="AI288" s="246"/>
      <c r="AJ288" s="102"/>
      <c r="AK288" s="92"/>
      <c r="AL288" s="91"/>
      <c r="AM288" s="92"/>
      <c r="AN288" s="351"/>
      <c r="AO288" s="197">
        <f t="shared" si="19"/>
        <v>0</v>
      </c>
      <c r="AP288" s="91"/>
      <c r="AQ288" s="217"/>
      <c r="AR288" s="103"/>
      <c r="AS288" s="264"/>
      <c r="AT288" s="94"/>
      <c r="AU288" s="84"/>
      <c r="AV288" s="136"/>
      <c r="AW288" s="81"/>
      <c r="AX288" s="137"/>
      <c r="AY288" s="138"/>
      <c r="AZ288" s="220">
        <f t="shared" si="16"/>
        <v>0</v>
      </c>
      <c r="BA288" s="220">
        <f t="shared" si="17"/>
        <v>0</v>
      </c>
    </row>
    <row r="289" spans="1:53" ht="50.1" customHeight="1" x14ac:dyDescent="0.25">
      <c r="A289" s="17">
        <f t="shared" si="18"/>
        <v>275</v>
      </c>
      <c r="B289" s="228"/>
      <c r="C289" s="221"/>
      <c r="D289" s="88"/>
      <c r="E289" s="100"/>
      <c r="F289" s="95"/>
      <c r="G289" s="114"/>
      <c r="H289" s="96"/>
      <c r="I289" s="97"/>
      <c r="J289" s="98"/>
      <c r="K289" s="101"/>
      <c r="L289" s="124"/>
      <c r="M289" s="333"/>
      <c r="N289" s="341"/>
      <c r="O289" s="190"/>
      <c r="P289" s="191"/>
      <c r="Q289" s="190"/>
      <c r="R289" s="191"/>
      <c r="S289" s="294"/>
      <c r="T289" s="300"/>
      <c r="U289" s="306"/>
      <c r="V289" s="308"/>
      <c r="W289" s="248"/>
      <c r="X289" s="342"/>
      <c r="Y289" s="337"/>
      <c r="Z289" s="123"/>
      <c r="AA289" s="83"/>
      <c r="AB289" s="123"/>
      <c r="AC289" s="83"/>
      <c r="AD289" s="123"/>
      <c r="AE289" s="83"/>
      <c r="AF289" s="123"/>
      <c r="AG289" s="243"/>
      <c r="AH289" s="33"/>
      <c r="AI289" s="245"/>
      <c r="AJ289" s="125"/>
      <c r="AK289" s="92"/>
      <c r="AL289" s="126"/>
      <c r="AM289" s="91"/>
      <c r="AN289" s="91"/>
      <c r="AO289" s="197">
        <f t="shared" si="19"/>
        <v>0</v>
      </c>
      <c r="AP289" s="126"/>
      <c r="AQ289" s="217"/>
      <c r="AR289" s="200"/>
      <c r="AS289" s="263"/>
      <c r="AT289" s="94"/>
      <c r="AU289" s="84"/>
      <c r="AV289" s="80"/>
      <c r="AW289" s="81"/>
      <c r="AX289" s="77"/>
      <c r="AY289" s="107"/>
      <c r="AZ289" s="220">
        <f t="shared" si="16"/>
        <v>0</v>
      </c>
      <c r="BA289" s="220">
        <f t="shared" si="17"/>
        <v>0</v>
      </c>
    </row>
    <row r="290" spans="1:53" ht="50.1" customHeight="1" x14ac:dyDescent="0.25">
      <c r="A290" s="17">
        <f t="shared" si="18"/>
        <v>276</v>
      </c>
      <c r="B290" s="229"/>
      <c r="C290" s="222"/>
      <c r="D290" s="112"/>
      <c r="E290" s="128"/>
      <c r="F290" s="183"/>
      <c r="G290" s="130"/>
      <c r="H290" s="131"/>
      <c r="I290" s="132"/>
      <c r="J290" s="189"/>
      <c r="K290" s="133"/>
      <c r="L290" s="134"/>
      <c r="M290" s="334"/>
      <c r="N290" s="343"/>
      <c r="O290" s="192"/>
      <c r="P290" s="191"/>
      <c r="Q290" s="192"/>
      <c r="R290" s="191"/>
      <c r="S290" s="295"/>
      <c r="T290" s="301"/>
      <c r="U290" s="306"/>
      <c r="V290" s="308"/>
      <c r="W290" s="249"/>
      <c r="X290" s="344"/>
      <c r="Y290" s="337"/>
      <c r="Z290" s="33"/>
      <c r="AA290" s="83"/>
      <c r="AB290" s="33"/>
      <c r="AC290" s="83"/>
      <c r="AD290" s="33"/>
      <c r="AE290" s="83"/>
      <c r="AF290" s="33"/>
      <c r="AG290" s="244"/>
      <c r="AH290" s="83"/>
      <c r="AI290" s="246"/>
      <c r="AJ290" s="102"/>
      <c r="AK290" s="92"/>
      <c r="AL290" s="91"/>
      <c r="AM290" s="92"/>
      <c r="AN290" s="351"/>
      <c r="AO290" s="197">
        <f t="shared" si="19"/>
        <v>0</v>
      </c>
      <c r="AP290" s="91"/>
      <c r="AQ290" s="217"/>
      <c r="AR290" s="103"/>
      <c r="AS290" s="264"/>
      <c r="AT290" s="94"/>
      <c r="AU290" s="84"/>
      <c r="AV290" s="136"/>
      <c r="AW290" s="81"/>
      <c r="AX290" s="137"/>
      <c r="AY290" s="138"/>
      <c r="AZ290" s="220">
        <f t="shared" si="16"/>
        <v>0</v>
      </c>
      <c r="BA290" s="220">
        <f t="shared" si="17"/>
        <v>0</v>
      </c>
    </row>
    <row r="291" spans="1:53" ht="50.1" customHeight="1" x14ac:dyDescent="0.25">
      <c r="A291" s="17">
        <f t="shared" si="18"/>
        <v>277</v>
      </c>
      <c r="B291" s="228"/>
      <c r="C291" s="221"/>
      <c r="D291" s="88"/>
      <c r="E291" s="100"/>
      <c r="F291" s="95"/>
      <c r="G291" s="114"/>
      <c r="H291" s="96"/>
      <c r="I291" s="97"/>
      <c r="J291" s="98"/>
      <c r="K291" s="101"/>
      <c r="L291" s="124"/>
      <c r="M291" s="333"/>
      <c r="N291" s="341"/>
      <c r="O291" s="190"/>
      <c r="P291" s="191"/>
      <c r="Q291" s="190"/>
      <c r="R291" s="191"/>
      <c r="S291" s="294"/>
      <c r="T291" s="300"/>
      <c r="U291" s="306"/>
      <c r="V291" s="308"/>
      <c r="W291" s="248"/>
      <c r="X291" s="342"/>
      <c r="Y291" s="337"/>
      <c r="Z291" s="123"/>
      <c r="AA291" s="83"/>
      <c r="AB291" s="123"/>
      <c r="AC291" s="83"/>
      <c r="AD291" s="123"/>
      <c r="AE291" s="83"/>
      <c r="AF291" s="123"/>
      <c r="AG291" s="243"/>
      <c r="AH291" s="33"/>
      <c r="AI291" s="245"/>
      <c r="AJ291" s="125"/>
      <c r="AK291" s="92"/>
      <c r="AL291" s="126"/>
      <c r="AM291" s="91"/>
      <c r="AN291" s="91"/>
      <c r="AO291" s="197">
        <f t="shared" si="19"/>
        <v>0</v>
      </c>
      <c r="AP291" s="126"/>
      <c r="AQ291" s="217"/>
      <c r="AR291" s="200"/>
      <c r="AS291" s="263"/>
      <c r="AT291" s="94"/>
      <c r="AU291" s="84"/>
      <c r="AV291" s="80"/>
      <c r="AW291" s="81"/>
      <c r="AX291" s="77"/>
      <c r="AY291" s="107"/>
      <c r="AZ291" s="220">
        <f t="shared" si="16"/>
        <v>0</v>
      </c>
      <c r="BA291" s="220">
        <f t="shared" si="17"/>
        <v>0</v>
      </c>
    </row>
    <row r="292" spans="1:53" ht="50.1" customHeight="1" x14ac:dyDescent="0.25">
      <c r="A292" s="17">
        <f t="shared" si="18"/>
        <v>278</v>
      </c>
      <c r="B292" s="229"/>
      <c r="C292" s="222"/>
      <c r="D292" s="112"/>
      <c r="E292" s="128"/>
      <c r="F292" s="183"/>
      <c r="G292" s="130"/>
      <c r="H292" s="131"/>
      <c r="I292" s="132"/>
      <c r="J292" s="189"/>
      <c r="K292" s="133"/>
      <c r="L292" s="134"/>
      <c r="M292" s="334"/>
      <c r="N292" s="343"/>
      <c r="O292" s="192"/>
      <c r="P292" s="191"/>
      <c r="Q292" s="192"/>
      <c r="R292" s="191"/>
      <c r="S292" s="295"/>
      <c r="T292" s="301"/>
      <c r="U292" s="306"/>
      <c r="V292" s="308"/>
      <c r="W292" s="249"/>
      <c r="X292" s="344"/>
      <c r="Y292" s="337"/>
      <c r="Z292" s="33"/>
      <c r="AA292" s="83"/>
      <c r="AB292" s="33"/>
      <c r="AC292" s="83"/>
      <c r="AD292" s="33"/>
      <c r="AE292" s="83"/>
      <c r="AF292" s="33"/>
      <c r="AG292" s="244"/>
      <c r="AH292" s="83"/>
      <c r="AI292" s="246"/>
      <c r="AJ292" s="102"/>
      <c r="AK292" s="92"/>
      <c r="AL292" s="91"/>
      <c r="AM292" s="92"/>
      <c r="AN292" s="351"/>
      <c r="AO292" s="197">
        <f t="shared" si="19"/>
        <v>0</v>
      </c>
      <c r="AP292" s="91"/>
      <c r="AQ292" s="217"/>
      <c r="AR292" s="103"/>
      <c r="AS292" s="264"/>
      <c r="AT292" s="94"/>
      <c r="AU292" s="84"/>
      <c r="AV292" s="136"/>
      <c r="AW292" s="81"/>
      <c r="AX292" s="137"/>
      <c r="AY292" s="138"/>
      <c r="AZ292" s="220">
        <f t="shared" si="16"/>
        <v>0</v>
      </c>
      <c r="BA292" s="220">
        <f t="shared" si="17"/>
        <v>0</v>
      </c>
    </row>
    <row r="293" spans="1:53" ht="50.1" customHeight="1" x14ac:dyDescent="0.25">
      <c r="A293" s="17">
        <f t="shared" si="18"/>
        <v>279</v>
      </c>
      <c r="B293" s="228"/>
      <c r="C293" s="221"/>
      <c r="D293" s="88"/>
      <c r="E293" s="100"/>
      <c r="F293" s="95"/>
      <c r="G293" s="114"/>
      <c r="H293" s="96"/>
      <c r="I293" s="97"/>
      <c r="J293" s="98"/>
      <c r="K293" s="101"/>
      <c r="L293" s="124"/>
      <c r="M293" s="333"/>
      <c r="N293" s="341"/>
      <c r="O293" s="190"/>
      <c r="P293" s="191"/>
      <c r="Q293" s="190"/>
      <c r="R293" s="191"/>
      <c r="S293" s="294"/>
      <c r="T293" s="300"/>
      <c r="U293" s="306"/>
      <c r="V293" s="308"/>
      <c r="W293" s="248"/>
      <c r="X293" s="342"/>
      <c r="Y293" s="337"/>
      <c r="Z293" s="123"/>
      <c r="AA293" s="83"/>
      <c r="AB293" s="123"/>
      <c r="AC293" s="83"/>
      <c r="AD293" s="123"/>
      <c r="AE293" s="83"/>
      <c r="AF293" s="123"/>
      <c r="AG293" s="243"/>
      <c r="AH293" s="33"/>
      <c r="AI293" s="245"/>
      <c r="AJ293" s="125"/>
      <c r="AK293" s="92"/>
      <c r="AL293" s="126"/>
      <c r="AM293" s="91"/>
      <c r="AN293" s="91"/>
      <c r="AO293" s="197">
        <f t="shared" si="19"/>
        <v>0</v>
      </c>
      <c r="AP293" s="126"/>
      <c r="AQ293" s="217"/>
      <c r="AR293" s="200"/>
      <c r="AS293" s="263"/>
      <c r="AT293" s="94"/>
      <c r="AU293" s="84"/>
      <c r="AV293" s="80"/>
      <c r="AW293" s="81"/>
      <c r="AX293" s="77"/>
      <c r="AY293" s="107"/>
      <c r="AZ293" s="220">
        <f t="shared" si="16"/>
        <v>0</v>
      </c>
      <c r="BA293" s="220">
        <f t="shared" si="17"/>
        <v>0</v>
      </c>
    </row>
    <row r="294" spans="1:53" ht="50.1" customHeight="1" x14ac:dyDescent="0.25">
      <c r="A294" s="17">
        <f t="shared" si="18"/>
        <v>280</v>
      </c>
      <c r="B294" s="229"/>
      <c r="C294" s="222"/>
      <c r="D294" s="112"/>
      <c r="E294" s="128"/>
      <c r="F294" s="183"/>
      <c r="G294" s="130"/>
      <c r="H294" s="131"/>
      <c r="I294" s="132"/>
      <c r="J294" s="189"/>
      <c r="K294" s="133"/>
      <c r="L294" s="134"/>
      <c r="M294" s="334"/>
      <c r="N294" s="343"/>
      <c r="O294" s="192"/>
      <c r="P294" s="191"/>
      <c r="Q294" s="192"/>
      <c r="R294" s="191"/>
      <c r="S294" s="295"/>
      <c r="T294" s="301"/>
      <c r="U294" s="306"/>
      <c r="V294" s="308"/>
      <c r="W294" s="249"/>
      <c r="X294" s="344"/>
      <c r="Y294" s="337"/>
      <c r="Z294" s="33"/>
      <c r="AA294" s="83"/>
      <c r="AB294" s="33"/>
      <c r="AC294" s="83"/>
      <c r="AD294" s="33"/>
      <c r="AE294" s="83"/>
      <c r="AF294" s="33"/>
      <c r="AG294" s="244"/>
      <c r="AH294" s="83"/>
      <c r="AI294" s="246"/>
      <c r="AJ294" s="102"/>
      <c r="AK294" s="92"/>
      <c r="AL294" s="91"/>
      <c r="AM294" s="92"/>
      <c r="AN294" s="351"/>
      <c r="AO294" s="197">
        <f t="shared" si="19"/>
        <v>0</v>
      </c>
      <c r="AP294" s="91"/>
      <c r="AQ294" s="217"/>
      <c r="AR294" s="103"/>
      <c r="AS294" s="264"/>
      <c r="AT294" s="94"/>
      <c r="AU294" s="84"/>
      <c r="AV294" s="136"/>
      <c r="AW294" s="81"/>
      <c r="AX294" s="137"/>
      <c r="AY294" s="138"/>
      <c r="AZ294" s="220">
        <f t="shared" si="16"/>
        <v>0</v>
      </c>
      <c r="BA294" s="220">
        <f t="shared" si="17"/>
        <v>0</v>
      </c>
    </row>
    <row r="295" spans="1:53" ht="50.1" customHeight="1" x14ac:dyDescent="0.25">
      <c r="A295" s="17">
        <f t="shared" si="18"/>
        <v>281</v>
      </c>
      <c r="B295" s="228"/>
      <c r="C295" s="221"/>
      <c r="D295" s="88"/>
      <c r="E295" s="100"/>
      <c r="F295" s="95"/>
      <c r="G295" s="114"/>
      <c r="H295" s="96"/>
      <c r="I295" s="97"/>
      <c r="J295" s="98"/>
      <c r="K295" s="101"/>
      <c r="L295" s="124"/>
      <c r="M295" s="333"/>
      <c r="N295" s="341"/>
      <c r="O295" s="190"/>
      <c r="P295" s="191"/>
      <c r="Q295" s="190"/>
      <c r="R295" s="191"/>
      <c r="S295" s="294"/>
      <c r="T295" s="300"/>
      <c r="U295" s="306"/>
      <c r="V295" s="308"/>
      <c r="W295" s="248"/>
      <c r="X295" s="342"/>
      <c r="Y295" s="337"/>
      <c r="Z295" s="123"/>
      <c r="AA295" s="83"/>
      <c r="AB295" s="123"/>
      <c r="AC295" s="83"/>
      <c r="AD295" s="123"/>
      <c r="AE295" s="83"/>
      <c r="AF295" s="123"/>
      <c r="AG295" s="243"/>
      <c r="AH295" s="33"/>
      <c r="AI295" s="245"/>
      <c r="AJ295" s="125"/>
      <c r="AK295" s="92"/>
      <c r="AL295" s="126"/>
      <c r="AM295" s="91"/>
      <c r="AN295" s="91"/>
      <c r="AO295" s="197">
        <f t="shared" si="19"/>
        <v>0</v>
      </c>
      <c r="AP295" s="126"/>
      <c r="AQ295" s="217"/>
      <c r="AR295" s="201"/>
      <c r="AS295" s="266"/>
      <c r="AT295" s="94"/>
      <c r="AU295" s="84"/>
      <c r="AV295" s="80"/>
      <c r="AW295" s="81"/>
      <c r="AX295" s="77"/>
      <c r="AY295" s="107"/>
      <c r="AZ295" s="220">
        <f t="shared" si="16"/>
        <v>0</v>
      </c>
      <c r="BA295" s="220">
        <f t="shared" si="17"/>
        <v>0</v>
      </c>
    </row>
    <row r="296" spans="1:53" ht="50.1" customHeight="1" x14ac:dyDescent="0.25">
      <c r="A296" s="17">
        <f t="shared" si="18"/>
        <v>282</v>
      </c>
      <c r="B296" s="229"/>
      <c r="C296" s="222"/>
      <c r="D296" s="112"/>
      <c r="E296" s="128"/>
      <c r="F296" s="183"/>
      <c r="G296" s="130"/>
      <c r="H296" s="131"/>
      <c r="I296" s="132"/>
      <c r="J296" s="189"/>
      <c r="K296" s="133"/>
      <c r="L296" s="134"/>
      <c r="M296" s="334"/>
      <c r="N296" s="343"/>
      <c r="O296" s="192"/>
      <c r="P296" s="191"/>
      <c r="Q296" s="192"/>
      <c r="R296" s="191"/>
      <c r="S296" s="295"/>
      <c r="T296" s="301"/>
      <c r="U296" s="306"/>
      <c r="V296" s="308"/>
      <c r="W296" s="249"/>
      <c r="X296" s="344"/>
      <c r="Y296" s="337"/>
      <c r="Z296" s="33"/>
      <c r="AA296" s="83"/>
      <c r="AB296" s="33"/>
      <c r="AC296" s="83"/>
      <c r="AD296" s="33"/>
      <c r="AE296" s="83"/>
      <c r="AF296" s="33"/>
      <c r="AG296" s="244"/>
      <c r="AH296" s="83"/>
      <c r="AI296" s="246"/>
      <c r="AJ296" s="102"/>
      <c r="AK296" s="92"/>
      <c r="AL296" s="91"/>
      <c r="AM296" s="92"/>
      <c r="AN296" s="351"/>
      <c r="AO296" s="197">
        <f t="shared" si="19"/>
        <v>0</v>
      </c>
      <c r="AP296" s="91"/>
      <c r="AQ296" s="217"/>
      <c r="AR296" s="103"/>
      <c r="AS296" s="264"/>
      <c r="AT296" s="94"/>
      <c r="AU296" s="84"/>
      <c r="AV296" s="136"/>
      <c r="AW296" s="81"/>
      <c r="AX296" s="137"/>
      <c r="AY296" s="138"/>
      <c r="AZ296" s="220">
        <f t="shared" si="16"/>
        <v>0</v>
      </c>
      <c r="BA296" s="220">
        <f t="shared" si="17"/>
        <v>0</v>
      </c>
    </row>
    <row r="297" spans="1:53" ht="50.1" customHeight="1" x14ac:dyDescent="0.25">
      <c r="A297" s="17">
        <f t="shared" si="18"/>
        <v>283</v>
      </c>
      <c r="B297" s="228"/>
      <c r="C297" s="221"/>
      <c r="D297" s="88"/>
      <c r="E297" s="100"/>
      <c r="F297" s="95"/>
      <c r="G297" s="114"/>
      <c r="H297" s="96"/>
      <c r="I297" s="97"/>
      <c r="J297" s="98"/>
      <c r="K297" s="101"/>
      <c r="L297" s="124"/>
      <c r="M297" s="333"/>
      <c r="N297" s="341"/>
      <c r="O297" s="190"/>
      <c r="P297" s="191"/>
      <c r="Q297" s="190"/>
      <c r="R297" s="191"/>
      <c r="S297" s="294"/>
      <c r="T297" s="300"/>
      <c r="U297" s="306"/>
      <c r="V297" s="308"/>
      <c r="W297" s="248"/>
      <c r="X297" s="342"/>
      <c r="Y297" s="337"/>
      <c r="Z297" s="123"/>
      <c r="AA297" s="83"/>
      <c r="AB297" s="123"/>
      <c r="AC297" s="83"/>
      <c r="AD297" s="123"/>
      <c r="AE297" s="83"/>
      <c r="AF297" s="123"/>
      <c r="AG297" s="243"/>
      <c r="AH297" s="33"/>
      <c r="AI297" s="245"/>
      <c r="AJ297" s="125"/>
      <c r="AK297" s="92"/>
      <c r="AL297" s="126"/>
      <c r="AM297" s="91"/>
      <c r="AN297" s="91"/>
      <c r="AO297" s="197">
        <f t="shared" si="19"/>
        <v>0</v>
      </c>
      <c r="AP297" s="126"/>
      <c r="AQ297" s="217"/>
      <c r="AR297" s="200"/>
      <c r="AS297" s="263"/>
      <c r="AT297" s="94"/>
      <c r="AU297" s="84"/>
      <c r="AV297" s="80"/>
      <c r="AW297" s="81"/>
      <c r="AX297" s="77"/>
      <c r="AY297" s="107"/>
      <c r="AZ297" s="220">
        <f t="shared" si="16"/>
        <v>0</v>
      </c>
      <c r="BA297" s="220">
        <f t="shared" si="17"/>
        <v>0</v>
      </c>
    </row>
    <row r="298" spans="1:53" ht="50.1" customHeight="1" x14ac:dyDescent="0.25">
      <c r="A298" s="17">
        <f t="shared" si="18"/>
        <v>284</v>
      </c>
      <c r="B298" s="229"/>
      <c r="C298" s="222"/>
      <c r="D298" s="112"/>
      <c r="E298" s="128"/>
      <c r="F298" s="183"/>
      <c r="G298" s="130"/>
      <c r="H298" s="131"/>
      <c r="I298" s="132"/>
      <c r="J298" s="189"/>
      <c r="K298" s="133"/>
      <c r="L298" s="134"/>
      <c r="M298" s="334"/>
      <c r="N298" s="343"/>
      <c r="O298" s="192"/>
      <c r="P298" s="191"/>
      <c r="Q298" s="192"/>
      <c r="R298" s="191"/>
      <c r="S298" s="295"/>
      <c r="T298" s="301"/>
      <c r="U298" s="306"/>
      <c r="V298" s="308"/>
      <c r="W298" s="249"/>
      <c r="X298" s="344"/>
      <c r="Y298" s="337"/>
      <c r="Z298" s="33"/>
      <c r="AA298" s="83"/>
      <c r="AB298" s="33"/>
      <c r="AC298" s="83"/>
      <c r="AD298" s="33"/>
      <c r="AE298" s="83"/>
      <c r="AF298" s="33"/>
      <c r="AG298" s="244"/>
      <c r="AH298" s="83"/>
      <c r="AI298" s="246"/>
      <c r="AJ298" s="102"/>
      <c r="AK298" s="92"/>
      <c r="AL298" s="91"/>
      <c r="AM298" s="92"/>
      <c r="AN298" s="351"/>
      <c r="AO298" s="197">
        <f t="shared" si="19"/>
        <v>0</v>
      </c>
      <c r="AP298" s="91"/>
      <c r="AQ298" s="217"/>
      <c r="AR298" s="103"/>
      <c r="AS298" s="264"/>
      <c r="AT298" s="94"/>
      <c r="AU298" s="84"/>
      <c r="AV298" s="136"/>
      <c r="AW298" s="81"/>
      <c r="AX298" s="137"/>
      <c r="AY298" s="138"/>
      <c r="AZ298" s="220">
        <f t="shared" si="16"/>
        <v>0</v>
      </c>
      <c r="BA298" s="220">
        <f t="shared" si="17"/>
        <v>0</v>
      </c>
    </row>
    <row r="299" spans="1:53" ht="50.1" customHeight="1" x14ac:dyDescent="0.25">
      <c r="A299" s="17">
        <f t="shared" si="18"/>
        <v>285</v>
      </c>
      <c r="B299" s="228"/>
      <c r="C299" s="221"/>
      <c r="D299" s="88"/>
      <c r="E299" s="100"/>
      <c r="F299" s="95"/>
      <c r="G299" s="114"/>
      <c r="H299" s="96"/>
      <c r="I299" s="97"/>
      <c r="J299" s="98"/>
      <c r="K299" s="101"/>
      <c r="L299" s="124"/>
      <c r="M299" s="333"/>
      <c r="N299" s="341"/>
      <c r="O299" s="190"/>
      <c r="P299" s="191"/>
      <c r="Q299" s="190"/>
      <c r="R299" s="191"/>
      <c r="S299" s="294"/>
      <c r="T299" s="300"/>
      <c r="U299" s="306"/>
      <c r="V299" s="308"/>
      <c r="W299" s="248"/>
      <c r="X299" s="342"/>
      <c r="Y299" s="337"/>
      <c r="Z299" s="123"/>
      <c r="AA299" s="83"/>
      <c r="AB299" s="123"/>
      <c r="AC299" s="83"/>
      <c r="AD299" s="123"/>
      <c r="AE299" s="83"/>
      <c r="AF299" s="123"/>
      <c r="AG299" s="243"/>
      <c r="AH299" s="33"/>
      <c r="AI299" s="245"/>
      <c r="AJ299" s="198"/>
      <c r="AK299" s="92"/>
      <c r="AL299" s="126"/>
      <c r="AM299" s="91"/>
      <c r="AN299" s="91"/>
      <c r="AO299" s="197">
        <f t="shared" si="19"/>
        <v>0</v>
      </c>
      <c r="AP299" s="126"/>
      <c r="AQ299" s="217"/>
      <c r="AR299" s="201"/>
      <c r="AS299" s="266"/>
      <c r="AT299" s="94"/>
      <c r="AU299" s="84"/>
      <c r="AV299" s="80"/>
      <c r="AW299" s="81"/>
      <c r="AX299" s="77"/>
      <c r="AY299" s="107"/>
      <c r="AZ299" s="220">
        <f t="shared" si="16"/>
        <v>0</v>
      </c>
      <c r="BA299" s="220">
        <f t="shared" si="17"/>
        <v>0</v>
      </c>
    </row>
    <row r="300" spans="1:53" ht="50.1" customHeight="1" x14ac:dyDescent="0.25">
      <c r="A300" s="17">
        <f t="shared" si="18"/>
        <v>286</v>
      </c>
      <c r="B300" s="229"/>
      <c r="C300" s="222"/>
      <c r="D300" s="112"/>
      <c r="E300" s="128"/>
      <c r="F300" s="183"/>
      <c r="G300" s="130"/>
      <c r="H300" s="131"/>
      <c r="I300" s="132"/>
      <c r="J300" s="189"/>
      <c r="K300" s="133"/>
      <c r="L300" s="134"/>
      <c r="M300" s="334"/>
      <c r="N300" s="343"/>
      <c r="O300" s="192"/>
      <c r="P300" s="191"/>
      <c r="Q300" s="192"/>
      <c r="R300" s="191"/>
      <c r="S300" s="295"/>
      <c r="T300" s="301"/>
      <c r="U300" s="306"/>
      <c r="V300" s="308"/>
      <c r="W300" s="249"/>
      <c r="X300" s="344"/>
      <c r="Y300" s="337"/>
      <c r="Z300" s="33"/>
      <c r="AA300" s="83"/>
      <c r="AB300" s="33"/>
      <c r="AC300" s="83"/>
      <c r="AD300" s="33"/>
      <c r="AE300" s="83"/>
      <c r="AF300" s="33"/>
      <c r="AG300" s="244"/>
      <c r="AH300" s="83"/>
      <c r="AI300" s="246"/>
      <c r="AJ300" s="195"/>
      <c r="AK300" s="92"/>
      <c r="AL300" s="91"/>
      <c r="AM300" s="92"/>
      <c r="AN300" s="351"/>
      <c r="AO300" s="197">
        <f t="shared" si="19"/>
        <v>0</v>
      </c>
      <c r="AP300" s="91"/>
      <c r="AQ300" s="217"/>
      <c r="AR300" s="196"/>
      <c r="AS300" s="265"/>
      <c r="AT300" s="94"/>
      <c r="AU300" s="84"/>
      <c r="AV300" s="136"/>
      <c r="AW300" s="81"/>
      <c r="AX300" s="137"/>
      <c r="AY300" s="138"/>
      <c r="AZ300" s="220">
        <f t="shared" si="16"/>
        <v>0</v>
      </c>
      <c r="BA300" s="220">
        <f t="shared" si="17"/>
        <v>0</v>
      </c>
    </row>
    <row r="301" spans="1:53" ht="50.1" customHeight="1" x14ac:dyDescent="0.25">
      <c r="A301" s="17">
        <f t="shared" si="18"/>
        <v>287</v>
      </c>
      <c r="B301" s="228"/>
      <c r="C301" s="221"/>
      <c r="D301" s="88"/>
      <c r="E301" s="100"/>
      <c r="F301" s="95"/>
      <c r="G301" s="114"/>
      <c r="H301" s="96"/>
      <c r="I301" s="97"/>
      <c r="J301" s="98"/>
      <c r="K301" s="101"/>
      <c r="L301" s="124"/>
      <c r="M301" s="333"/>
      <c r="N301" s="341"/>
      <c r="O301" s="190"/>
      <c r="P301" s="191"/>
      <c r="Q301" s="190"/>
      <c r="R301" s="191"/>
      <c r="S301" s="294"/>
      <c r="T301" s="300"/>
      <c r="U301" s="306"/>
      <c r="V301" s="308"/>
      <c r="W301" s="248"/>
      <c r="X301" s="342"/>
      <c r="Y301" s="337"/>
      <c r="Z301" s="123"/>
      <c r="AA301" s="83"/>
      <c r="AB301" s="123"/>
      <c r="AC301" s="83"/>
      <c r="AD301" s="123"/>
      <c r="AE301" s="83"/>
      <c r="AF301" s="123"/>
      <c r="AG301" s="243"/>
      <c r="AH301" s="33"/>
      <c r="AI301" s="245"/>
      <c r="AJ301" s="198"/>
      <c r="AK301" s="92"/>
      <c r="AL301" s="126"/>
      <c r="AM301" s="91"/>
      <c r="AN301" s="91"/>
      <c r="AO301" s="197">
        <f t="shared" si="19"/>
        <v>0</v>
      </c>
      <c r="AP301" s="126"/>
      <c r="AQ301" s="217"/>
      <c r="AR301" s="201"/>
      <c r="AS301" s="266"/>
      <c r="AT301" s="94"/>
      <c r="AU301" s="84"/>
      <c r="AV301" s="80"/>
      <c r="AW301" s="81"/>
      <c r="AX301" s="77"/>
      <c r="AY301" s="107"/>
      <c r="AZ301" s="220">
        <f t="shared" si="16"/>
        <v>0</v>
      </c>
      <c r="BA301" s="220">
        <f t="shared" si="17"/>
        <v>0</v>
      </c>
    </row>
    <row r="302" spans="1:53" ht="50.1" customHeight="1" x14ac:dyDescent="0.25">
      <c r="A302" s="17">
        <f t="shared" si="18"/>
        <v>288</v>
      </c>
      <c r="B302" s="229"/>
      <c r="C302" s="222"/>
      <c r="D302" s="112"/>
      <c r="E302" s="128"/>
      <c r="F302" s="183"/>
      <c r="G302" s="130"/>
      <c r="H302" s="131"/>
      <c r="I302" s="132"/>
      <c r="J302" s="189"/>
      <c r="K302" s="133"/>
      <c r="L302" s="134"/>
      <c r="M302" s="334"/>
      <c r="N302" s="343"/>
      <c r="O302" s="193"/>
      <c r="P302" s="191"/>
      <c r="Q302" s="193"/>
      <c r="R302" s="191"/>
      <c r="S302" s="296"/>
      <c r="T302" s="302"/>
      <c r="U302" s="306"/>
      <c r="V302" s="308"/>
      <c r="W302" s="249"/>
      <c r="X302" s="344"/>
      <c r="Y302" s="337"/>
      <c r="Z302" s="33"/>
      <c r="AA302" s="83"/>
      <c r="AB302" s="33"/>
      <c r="AC302" s="83"/>
      <c r="AD302" s="33"/>
      <c r="AE302" s="83"/>
      <c r="AF302" s="33"/>
      <c r="AG302" s="244"/>
      <c r="AH302" s="83"/>
      <c r="AI302" s="246"/>
      <c r="AJ302" s="102"/>
      <c r="AK302" s="92"/>
      <c r="AL302" s="91"/>
      <c r="AM302" s="92"/>
      <c r="AN302" s="351"/>
      <c r="AO302" s="197">
        <f t="shared" si="19"/>
        <v>0</v>
      </c>
      <c r="AP302" s="91"/>
      <c r="AQ302" s="217"/>
      <c r="AR302" s="196"/>
      <c r="AS302" s="265"/>
      <c r="AT302" s="94"/>
      <c r="AU302" s="84"/>
      <c r="AV302" s="136"/>
      <c r="AW302" s="81"/>
      <c r="AX302" s="137"/>
      <c r="AY302" s="138"/>
      <c r="AZ302" s="220">
        <f t="shared" si="16"/>
        <v>0</v>
      </c>
      <c r="BA302" s="220">
        <f t="shared" si="17"/>
        <v>0</v>
      </c>
    </row>
    <row r="303" spans="1:53" ht="50.1" customHeight="1" x14ac:dyDescent="0.25">
      <c r="A303" s="17">
        <f t="shared" si="18"/>
        <v>289</v>
      </c>
      <c r="B303" s="228"/>
      <c r="C303" s="221"/>
      <c r="D303" s="88"/>
      <c r="E303" s="100"/>
      <c r="F303" s="95"/>
      <c r="G303" s="114"/>
      <c r="H303" s="96"/>
      <c r="I303" s="97"/>
      <c r="J303" s="98"/>
      <c r="K303" s="101"/>
      <c r="L303" s="124"/>
      <c r="M303" s="333"/>
      <c r="N303" s="341"/>
      <c r="O303" s="190"/>
      <c r="P303" s="191"/>
      <c r="Q303" s="190"/>
      <c r="R303" s="191"/>
      <c r="S303" s="294"/>
      <c r="T303" s="300"/>
      <c r="U303" s="306"/>
      <c r="V303" s="308"/>
      <c r="W303" s="248"/>
      <c r="X303" s="342"/>
      <c r="Y303" s="337"/>
      <c r="Z303" s="123"/>
      <c r="AA303" s="83"/>
      <c r="AB303" s="123"/>
      <c r="AC303" s="83"/>
      <c r="AD303" s="123"/>
      <c r="AE303" s="83"/>
      <c r="AF303" s="123"/>
      <c r="AG303" s="243"/>
      <c r="AH303" s="33"/>
      <c r="AI303" s="245"/>
      <c r="AJ303" s="125"/>
      <c r="AK303" s="92"/>
      <c r="AL303" s="126"/>
      <c r="AM303" s="91"/>
      <c r="AN303" s="91"/>
      <c r="AO303" s="197">
        <f t="shared" si="19"/>
        <v>0</v>
      </c>
      <c r="AP303" s="126"/>
      <c r="AQ303" s="217"/>
      <c r="AR303" s="201"/>
      <c r="AS303" s="266"/>
      <c r="AT303" s="94"/>
      <c r="AU303" s="84"/>
      <c r="AV303" s="80"/>
      <c r="AW303" s="81"/>
      <c r="AX303" s="77"/>
      <c r="AY303" s="107"/>
      <c r="AZ303" s="220">
        <f t="shared" si="16"/>
        <v>0</v>
      </c>
      <c r="BA303" s="220">
        <f t="shared" si="17"/>
        <v>0</v>
      </c>
    </row>
    <row r="304" spans="1:53" ht="50.1" customHeight="1" x14ac:dyDescent="0.25">
      <c r="A304" s="17">
        <f t="shared" si="18"/>
        <v>290</v>
      </c>
      <c r="B304" s="229"/>
      <c r="C304" s="222"/>
      <c r="D304" s="112"/>
      <c r="E304" s="128"/>
      <c r="F304" s="183"/>
      <c r="G304" s="130"/>
      <c r="H304" s="131"/>
      <c r="I304" s="132"/>
      <c r="J304" s="189"/>
      <c r="K304" s="133"/>
      <c r="L304" s="134"/>
      <c r="M304" s="334"/>
      <c r="N304" s="343"/>
      <c r="O304" s="193"/>
      <c r="P304" s="191"/>
      <c r="Q304" s="193"/>
      <c r="R304" s="191"/>
      <c r="S304" s="296"/>
      <c r="T304" s="302"/>
      <c r="U304" s="306"/>
      <c r="V304" s="308"/>
      <c r="W304" s="249"/>
      <c r="X304" s="344"/>
      <c r="Y304" s="337"/>
      <c r="Z304" s="33"/>
      <c r="AA304" s="83"/>
      <c r="AB304" s="33"/>
      <c r="AC304" s="83"/>
      <c r="AD304" s="33"/>
      <c r="AE304" s="83"/>
      <c r="AF304" s="33"/>
      <c r="AG304" s="244"/>
      <c r="AH304" s="83"/>
      <c r="AI304" s="246"/>
      <c r="AJ304" s="102"/>
      <c r="AK304" s="92"/>
      <c r="AL304" s="91"/>
      <c r="AM304" s="92"/>
      <c r="AN304" s="351"/>
      <c r="AO304" s="197">
        <f t="shared" si="19"/>
        <v>0</v>
      </c>
      <c r="AP304" s="91"/>
      <c r="AQ304" s="217"/>
      <c r="AR304" s="196"/>
      <c r="AS304" s="265"/>
      <c r="AT304" s="94"/>
      <c r="AU304" s="84"/>
      <c r="AV304" s="136"/>
      <c r="AW304" s="81"/>
      <c r="AX304" s="137"/>
      <c r="AY304" s="138"/>
      <c r="AZ304" s="220">
        <f t="shared" si="16"/>
        <v>0</v>
      </c>
      <c r="BA304" s="220">
        <f t="shared" si="17"/>
        <v>0</v>
      </c>
    </row>
    <row r="305" spans="1:53" ht="50.1" customHeight="1" x14ac:dyDescent="0.25">
      <c r="A305" s="17">
        <f t="shared" si="18"/>
        <v>291</v>
      </c>
      <c r="B305" s="228"/>
      <c r="C305" s="221"/>
      <c r="D305" s="88"/>
      <c r="E305" s="100"/>
      <c r="F305" s="95"/>
      <c r="G305" s="114"/>
      <c r="H305" s="96"/>
      <c r="I305" s="97"/>
      <c r="J305" s="98"/>
      <c r="K305" s="101"/>
      <c r="L305" s="124"/>
      <c r="M305" s="333"/>
      <c r="N305" s="346"/>
      <c r="O305" s="190"/>
      <c r="P305" s="191"/>
      <c r="Q305" s="190"/>
      <c r="R305" s="191"/>
      <c r="S305" s="294"/>
      <c r="T305" s="300"/>
      <c r="U305" s="306"/>
      <c r="V305" s="308"/>
      <c r="W305" s="248"/>
      <c r="X305" s="342"/>
      <c r="Y305" s="337"/>
      <c r="Z305" s="123"/>
      <c r="AA305" s="83"/>
      <c r="AB305" s="123"/>
      <c r="AC305" s="83"/>
      <c r="AD305" s="123"/>
      <c r="AE305" s="83"/>
      <c r="AF305" s="123"/>
      <c r="AG305" s="243"/>
      <c r="AH305" s="33"/>
      <c r="AI305" s="245"/>
      <c r="AJ305" s="125"/>
      <c r="AK305" s="92"/>
      <c r="AL305" s="126"/>
      <c r="AM305" s="91"/>
      <c r="AN305" s="91"/>
      <c r="AO305" s="197">
        <f t="shared" si="19"/>
        <v>0</v>
      </c>
      <c r="AP305" s="126"/>
      <c r="AQ305" s="217"/>
      <c r="AR305" s="201"/>
      <c r="AS305" s="266"/>
      <c r="AT305" s="94"/>
      <c r="AU305" s="84"/>
      <c r="AV305" s="80"/>
      <c r="AW305" s="81"/>
      <c r="AX305" s="77"/>
      <c r="AY305" s="107"/>
      <c r="AZ305" s="220">
        <f t="shared" si="16"/>
        <v>0</v>
      </c>
      <c r="BA305" s="220">
        <f t="shared" si="17"/>
        <v>0</v>
      </c>
    </row>
    <row r="306" spans="1:53" ht="50.1" customHeight="1" x14ac:dyDescent="0.25">
      <c r="A306" s="17">
        <f t="shared" si="18"/>
        <v>292</v>
      </c>
      <c r="B306" s="229"/>
      <c r="C306" s="222"/>
      <c r="D306" s="112"/>
      <c r="E306" s="128"/>
      <c r="F306" s="183"/>
      <c r="G306" s="130"/>
      <c r="H306" s="131"/>
      <c r="I306" s="132"/>
      <c r="J306" s="189"/>
      <c r="K306" s="133"/>
      <c r="L306" s="134"/>
      <c r="M306" s="334"/>
      <c r="N306" s="343"/>
      <c r="O306" s="193"/>
      <c r="P306" s="191"/>
      <c r="Q306" s="193"/>
      <c r="R306" s="191"/>
      <c r="S306" s="296"/>
      <c r="T306" s="302"/>
      <c r="U306" s="306"/>
      <c r="V306" s="308"/>
      <c r="W306" s="249"/>
      <c r="X306" s="344"/>
      <c r="Y306" s="337"/>
      <c r="Z306" s="33"/>
      <c r="AA306" s="83"/>
      <c r="AB306" s="33"/>
      <c r="AC306" s="83"/>
      <c r="AD306" s="33"/>
      <c r="AE306" s="83"/>
      <c r="AF306" s="33"/>
      <c r="AG306" s="244"/>
      <c r="AH306" s="83"/>
      <c r="AI306" s="246"/>
      <c r="AJ306" s="102"/>
      <c r="AK306" s="92"/>
      <c r="AL306" s="91"/>
      <c r="AM306" s="92"/>
      <c r="AN306" s="351"/>
      <c r="AO306" s="197">
        <f t="shared" si="19"/>
        <v>0</v>
      </c>
      <c r="AP306" s="91"/>
      <c r="AQ306" s="217"/>
      <c r="AR306" s="196"/>
      <c r="AS306" s="265"/>
      <c r="AT306" s="94"/>
      <c r="AU306" s="84"/>
      <c r="AV306" s="136"/>
      <c r="AW306" s="81"/>
      <c r="AX306" s="137"/>
      <c r="AY306" s="138"/>
      <c r="AZ306" s="220">
        <f t="shared" si="16"/>
        <v>0</v>
      </c>
      <c r="BA306" s="220">
        <f t="shared" si="17"/>
        <v>0</v>
      </c>
    </row>
    <row r="307" spans="1:53" ht="50.1" customHeight="1" x14ac:dyDescent="0.25">
      <c r="A307" s="17">
        <f t="shared" si="18"/>
        <v>293</v>
      </c>
      <c r="B307" s="228"/>
      <c r="C307" s="221"/>
      <c r="D307" s="88"/>
      <c r="E307" s="100"/>
      <c r="F307" s="95"/>
      <c r="G307" s="114"/>
      <c r="H307" s="96"/>
      <c r="I307" s="97"/>
      <c r="J307" s="98"/>
      <c r="K307" s="101"/>
      <c r="L307" s="124"/>
      <c r="M307" s="333"/>
      <c r="N307" s="341"/>
      <c r="O307" s="190"/>
      <c r="P307" s="191"/>
      <c r="Q307" s="190"/>
      <c r="R307" s="191"/>
      <c r="S307" s="294"/>
      <c r="T307" s="300"/>
      <c r="U307" s="306"/>
      <c r="V307" s="308"/>
      <c r="W307" s="248"/>
      <c r="X307" s="342"/>
      <c r="Y307" s="337"/>
      <c r="Z307" s="123"/>
      <c r="AA307" s="83"/>
      <c r="AB307" s="123"/>
      <c r="AC307" s="83"/>
      <c r="AD307" s="123"/>
      <c r="AE307" s="83"/>
      <c r="AF307" s="123"/>
      <c r="AG307" s="243"/>
      <c r="AH307" s="33"/>
      <c r="AI307" s="245"/>
      <c r="AJ307" s="125"/>
      <c r="AK307" s="92"/>
      <c r="AL307" s="126"/>
      <c r="AM307" s="91"/>
      <c r="AN307" s="91"/>
      <c r="AO307" s="197">
        <f t="shared" si="19"/>
        <v>0</v>
      </c>
      <c r="AP307" s="126"/>
      <c r="AQ307" s="217"/>
      <c r="AR307" s="201"/>
      <c r="AS307" s="266"/>
      <c r="AT307" s="94"/>
      <c r="AU307" s="84"/>
      <c r="AV307" s="80"/>
      <c r="AW307" s="81"/>
      <c r="AX307" s="77"/>
      <c r="AY307" s="107"/>
      <c r="AZ307" s="220">
        <f t="shared" si="16"/>
        <v>0</v>
      </c>
      <c r="BA307" s="220">
        <f t="shared" si="17"/>
        <v>0</v>
      </c>
    </row>
    <row r="308" spans="1:53" ht="50.1" customHeight="1" x14ac:dyDescent="0.25">
      <c r="A308" s="17">
        <f t="shared" si="18"/>
        <v>294</v>
      </c>
      <c r="B308" s="229"/>
      <c r="C308" s="222"/>
      <c r="D308" s="112"/>
      <c r="E308" s="128"/>
      <c r="F308" s="183"/>
      <c r="G308" s="130"/>
      <c r="H308" s="131"/>
      <c r="I308" s="132"/>
      <c r="J308" s="189"/>
      <c r="K308" s="133"/>
      <c r="L308" s="134"/>
      <c r="M308" s="334"/>
      <c r="N308" s="343"/>
      <c r="O308" s="193"/>
      <c r="P308" s="191"/>
      <c r="Q308" s="193"/>
      <c r="R308" s="191"/>
      <c r="S308" s="296"/>
      <c r="T308" s="302"/>
      <c r="U308" s="306"/>
      <c r="V308" s="308"/>
      <c r="W308" s="249"/>
      <c r="X308" s="344"/>
      <c r="Y308" s="337"/>
      <c r="Z308" s="33"/>
      <c r="AA308" s="83"/>
      <c r="AB308" s="33"/>
      <c r="AC308" s="83"/>
      <c r="AD308" s="33"/>
      <c r="AE308" s="83"/>
      <c r="AF308" s="33"/>
      <c r="AG308" s="244"/>
      <c r="AH308" s="83"/>
      <c r="AI308" s="246"/>
      <c r="AJ308" s="102"/>
      <c r="AK308" s="92"/>
      <c r="AL308" s="91"/>
      <c r="AM308" s="92"/>
      <c r="AN308" s="351"/>
      <c r="AO308" s="197">
        <f t="shared" si="19"/>
        <v>0</v>
      </c>
      <c r="AP308" s="91"/>
      <c r="AQ308" s="217"/>
      <c r="AR308" s="196"/>
      <c r="AS308" s="265"/>
      <c r="AT308" s="94"/>
      <c r="AU308" s="84"/>
      <c r="AV308" s="136"/>
      <c r="AW308" s="81"/>
      <c r="AX308" s="137"/>
      <c r="AY308" s="138"/>
      <c r="AZ308" s="220">
        <f t="shared" si="16"/>
        <v>0</v>
      </c>
      <c r="BA308" s="220">
        <f t="shared" si="17"/>
        <v>0</v>
      </c>
    </row>
    <row r="309" spans="1:53" ht="50.1" customHeight="1" x14ac:dyDescent="0.25">
      <c r="A309" s="17">
        <f t="shared" si="18"/>
        <v>295</v>
      </c>
      <c r="B309" s="228"/>
      <c r="C309" s="221"/>
      <c r="D309" s="88"/>
      <c r="E309" s="100"/>
      <c r="F309" s="95"/>
      <c r="G309" s="114"/>
      <c r="H309" s="96"/>
      <c r="I309" s="97"/>
      <c r="J309" s="98"/>
      <c r="K309" s="101"/>
      <c r="L309" s="124"/>
      <c r="M309" s="333"/>
      <c r="N309" s="341"/>
      <c r="O309" s="190"/>
      <c r="P309" s="191"/>
      <c r="Q309" s="190"/>
      <c r="R309" s="191"/>
      <c r="S309" s="294"/>
      <c r="T309" s="300"/>
      <c r="U309" s="306"/>
      <c r="V309" s="308"/>
      <c r="W309" s="248"/>
      <c r="X309" s="342"/>
      <c r="Y309" s="337"/>
      <c r="Z309" s="123"/>
      <c r="AA309" s="83"/>
      <c r="AB309" s="123"/>
      <c r="AC309" s="83"/>
      <c r="AD309" s="123"/>
      <c r="AE309" s="83"/>
      <c r="AF309" s="123"/>
      <c r="AG309" s="243"/>
      <c r="AH309" s="33"/>
      <c r="AI309" s="245"/>
      <c r="AJ309" s="125"/>
      <c r="AK309" s="92"/>
      <c r="AL309" s="126"/>
      <c r="AM309" s="91"/>
      <c r="AN309" s="91"/>
      <c r="AO309" s="197">
        <f t="shared" si="19"/>
        <v>0</v>
      </c>
      <c r="AP309" s="126"/>
      <c r="AQ309" s="217"/>
      <c r="AR309" s="201"/>
      <c r="AS309" s="266"/>
      <c r="AT309" s="94"/>
      <c r="AU309" s="84"/>
      <c r="AV309" s="80"/>
      <c r="AW309" s="81"/>
      <c r="AX309" s="77"/>
      <c r="AY309" s="107"/>
      <c r="AZ309" s="220">
        <f t="shared" si="16"/>
        <v>0</v>
      </c>
      <c r="BA309" s="220">
        <f t="shared" si="17"/>
        <v>0</v>
      </c>
    </row>
    <row r="310" spans="1:53" ht="50.1" customHeight="1" x14ac:dyDescent="0.25">
      <c r="A310" s="17">
        <f t="shared" si="18"/>
        <v>296</v>
      </c>
      <c r="B310" s="229"/>
      <c r="C310" s="222"/>
      <c r="D310" s="112"/>
      <c r="E310" s="128"/>
      <c r="F310" s="183"/>
      <c r="G310" s="130"/>
      <c r="H310" s="131"/>
      <c r="I310" s="132"/>
      <c r="J310" s="189"/>
      <c r="K310" s="133"/>
      <c r="L310" s="134"/>
      <c r="M310" s="334"/>
      <c r="N310" s="343"/>
      <c r="O310" s="193"/>
      <c r="P310" s="191"/>
      <c r="Q310" s="193"/>
      <c r="R310" s="191"/>
      <c r="S310" s="296"/>
      <c r="T310" s="302"/>
      <c r="U310" s="306"/>
      <c r="V310" s="308"/>
      <c r="W310" s="249"/>
      <c r="X310" s="344"/>
      <c r="Y310" s="337"/>
      <c r="Z310" s="33"/>
      <c r="AA310" s="83"/>
      <c r="AB310" s="33"/>
      <c r="AC310" s="83"/>
      <c r="AD310" s="33"/>
      <c r="AE310" s="83"/>
      <c r="AF310" s="33"/>
      <c r="AG310" s="244"/>
      <c r="AH310" s="83"/>
      <c r="AI310" s="246"/>
      <c r="AJ310" s="102"/>
      <c r="AK310" s="92"/>
      <c r="AL310" s="91"/>
      <c r="AM310" s="92"/>
      <c r="AN310" s="351"/>
      <c r="AO310" s="197">
        <f t="shared" si="19"/>
        <v>0</v>
      </c>
      <c r="AP310" s="91"/>
      <c r="AQ310" s="217"/>
      <c r="AR310" s="196"/>
      <c r="AS310" s="265"/>
      <c r="AT310" s="94"/>
      <c r="AU310" s="84"/>
      <c r="AV310" s="136"/>
      <c r="AW310" s="81"/>
      <c r="AX310" s="137"/>
      <c r="AY310" s="138"/>
      <c r="AZ310" s="220">
        <f t="shared" si="16"/>
        <v>0</v>
      </c>
      <c r="BA310" s="220">
        <f t="shared" si="17"/>
        <v>0</v>
      </c>
    </row>
    <row r="311" spans="1:53" ht="50.1" customHeight="1" x14ac:dyDescent="0.25">
      <c r="A311" s="17">
        <f t="shared" si="18"/>
        <v>297</v>
      </c>
      <c r="B311" s="228"/>
      <c r="C311" s="221"/>
      <c r="D311" s="88"/>
      <c r="E311" s="100"/>
      <c r="F311" s="95"/>
      <c r="G311" s="114"/>
      <c r="H311" s="96"/>
      <c r="I311" s="97"/>
      <c r="J311" s="98"/>
      <c r="K311" s="101"/>
      <c r="L311" s="124"/>
      <c r="M311" s="333"/>
      <c r="N311" s="341"/>
      <c r="O311" s="190"/>
      <c r="P311" s="191"/>
      <c r="Q311" s="190"/>
      <c r="R311" s="191"/>
      <c r="S311" s="294"/>
      <c r="T311" s="300"/>
      <c r="U311" s="306"/>
      <c r="V311" s="308"/>
      <c r="W311" s="248"/>
      <c r="X311" s="342"/>
      <c r="Y311" s="337"/>
      <c r="Z311" s="123"/>
      <c r="AA311" s="83"/>
      <c r="AB311" s="123"/>
      <c r="AC311" s="83"/>
      <c r="AD311" s="123"/>
      <c r="AE311" s="83"/>
      <c r="AF311" s="123"/>
      <c r="AG311" s="243"/>
      <c r="AH311" s="33"/>
      <c r="AI311" s="245"/>
      <c r="AJ311" s="125"/>
      <c r="AK311" s="92"/>
      <c r="AL311" s="126"/>
      <c r="AM311" s="91"/>
      <c r="AN311" s="91"/>
      <c r="AO311" s="197">
        <f t="shared" si="19"/>
        <v>0</v>
      </c>
      <c r="AP311" s="126"/>
      <c r="AQ311" s="217"/>
      <c r="AR311" s="201"/>
      <c r="AS311" s="266"/>
      <c r="AT311" s="94"/>
      <c r="AU311" s="84"/>
      <c r="AV311" s="80"/>
      <c r="AW311" s="81"/>
      <c r="AX311" s="77"/>
      <c r="AY311" s="107"/>
      <c r="AZ311" s="220">
        <f t="shared" si="16"/>
        <v>0</v>
      </c>
      <c r="BA311" s="220">
        <f t="shared" si="17"/>
        <v>0</v>
      </c>
    </row>
    <row r="312" spans="1:53" ht="50.1" customHeight="1" x14ac:dyDescent="0.25">
      <c r="A312" s="17">
        <f t="shared" si="18"/>
        <v>298</v>
      </c>
      <c r="B312" s="229"/>
      <c r="C312" s="222"/>
      <c r="D312" s="112"/>
      <c r="E312" s="128"/>
      <c r="F312" s="183"/>
      <c r="G312" s="130"/>
      <c r="H312" s="131"/>
      <c r="I312" s="132"/>
      <c r="J312" s="189"/>
      <c r="K312" s="133"/>
      <c r="L312" s="134"/>
      <c r="M312" s="334"/>
      <c r="N312" s="343"/>
      <c r="O312" s="193"/>
      <c r="P312" s="191"/>
      <c r="Q312" s="193"/>
      <c r="R312" s="191"/>
      <c r="S312" s="296"/>
      <c r="T312" s="302"/>
      <c r="U312" s="306"/>
      <c r="V312" s="308"/>
      <c r="W312" s="249"/>
      <c r="X312" s="344"/>
      <c r="Y312" s="337"/>
      <c r="Z312" s="33"/>
      <c r="AA312" s="83"/>
      <c r="AB312" s="33"/>
      <c r="AC312" s="83"/>
      <c r="AD312" s="33"/>
      <c r="AE312" s="83"/>
      <c r="AF312" s="33"/>
      <c r="AG312" s="244"/>
      <c r="AH312" s="83"/>
      <c r="AI312" s="246"/>
      <c r="AJ312" s="102"/>
      <c r="AK312" s="92"/>
      <c r="AL312" s="91"/>
      <c r="AM312" s="92"/>
      <c r="AN312" s="351"/>
      <c r="AO312" s="197">
        <f t="shared" si="19"/>
        <v>0</v>
      </c>
      <c r="AP312" s="91"/>
      <c r="AQ312" s="217"/>
      <c r="AR312" s="196"/>
      <c r="AS312" s="265"/>
      <c r="AT312" s="94"/>
      <c r="AU312" s="84"/>
      <c r="AV312" s="136"/>
      <c r="AW312" s="81"/>
      <c r="AX312" s="137"/>
      <c r="AY312" s="138"/>
      <c r="AZ312" s="220">
        <f t="shared" si="16"/>
        <v>0</v>
      </c>
      <c r="BA312" s="220">
        <f t="shared" si="17"/>
        <v>0</v>
      </c>
    </row>
    <row r="313" spans="1:53" ht="50.1" customHeight="1" x14ac:dyDescent="0.25">
      <c r="A313" s="17">
        <f t="shared" si="18"/>
        <v>299</v>
      </c>
      <c r="B313" s="228"/>
      <c r="C313" s="221"/>
      <c r="D313" s="88"/>
      <c r="E313" s="100"/>
      <c r="F313" s="95"/>
      <c r="G313" s="114"/>
      <c r="H313" s="96"/>
      <c r="I313" s="97"/>
      <c r="J313" s="98"/>
      <c r="K313" s="101"/>
      <c r="L313" s="124"/>
      <c r="M313" s="333"/>
      <c r="N313" s="341"/>
      <c r="O313" s="190"/>
      <c r="P313" s="191"/>
      <c r="Q313" s="190"/>
      <c r="R313" s="191"/>
      <c r="S313" s="294"/>
      <c r="T313" s="300"/>
      <c r="U313" s="306"/>
      <c r="V313" s="308"/>
      <c r="W313" s="248"/>
      <c r="X313" s="342"/>
      <c r="Y313" s="337"/>
      <c r="Z313" s="123"/>
      <c r="AA313" s="83"/>
      <c r="AB313" s="123"/>
      <c r="AC313" s="83"/>
      <c r="AD313" s="123"/>
      <c r="AE313" s="83"/>
      <c r="AF313" s="123"/>
      <c r="AG313" s="243"/>
      <c r="AH313" s="33"/>
      <c r="AI313" s="245"/>
      <c r="AJ313" s="125"/>
      <c r="AK313" s="92"/>
      <c r="AL313" s="126"/>
      <c r="AM313" s="91"/>
      <c r="AN313" s="91"/>
      <c r="AO313" s="197">
        <f t="shared" si="19"/>
        <v>0</v>
      </c>
      <c r="AP313" s="126"/>
      <c r="AQ313" s="217"/>
      <c r="AR313" s="201"/>
      <c r="AS313" s="266"/>
      <c r="AT313" s="94"/>
      <c r="AU313" s="84"/>
      <c r="AV313" s="80"/>
      <c r="AW313" s="81"/>
      <c r="AX313" s="77"/>
      <c r="AY313" s="107"/>
      <c r="AZ313" s="220">
        <f t="shared" si="16"/>
        <v>0</v>
      </c>
      <c r="BA313" s="220">
        <f t="shared" si="17"/>
        <v>0</v>
      </c>
    </row>
    <row r="314" spans="1:53" ht="50.1" customHeight="1" x14ac:dyDescent="0.25">
      <c r="A314" s="17">
        <f t="shared" si="18"/>
        <v>300</v>
      </c>
      <c r="B314" s="229"/>
      <c r="C314" s="222"/>
      <c r="D314" s="112"/>
      <c r="E314" s="128"/>
      <c r="F314" s="183"/>
      <c r="G314" s="130"/>
      <c r="H314" s="131"/>
      <c r="I314" s="132"/>
      <c r="J314" s="189"/>
      <c r="K314" s="133"/>
      <c r="L314" s="134"/>
      <c r="M314" s="334"/>
      <c r="N314" s="343"/>
      <c r="O314" s="193"/>
      <c r="P314" s="191"/>
      <c r="Q314" s="193"/>
      <c r="R314" s="191"/>
      <c r="S314" s="296"/>
      <c r="T314" s="302"/>
      <c r="U314" s="306"/>
      <c r="V314" s="308"/>
      <c r="W314" s="249"/>
      <c r="X314" s="344"/>
      <c r="Y314" s="337"/>
      <c r="Z314" s="33"/>
      <c r="AA314" s="83"/>
      <c r="AB314" s="33"/>
      <c r="AC314" s="83"/>
      <c r="AD314" s="33"/>
      <c r="AE314" s="83"/>
      <c r="AF314" s="33"/>
      <c r="AG314" s="244"/>
      <c r="AH314" s="83"/>
      <c r="AI314" s="246"/>
      <c r="AJ314" s="102"/>
      <c r="AK314" s="92"/>
      <c r="AL314" s="91"/>
      <c r="AM314" s="92"/>
      <c r="AN314" s="351"/>
      <c r="AO314" s="197">
        <f t="shared" si="19"/>
        <v>0</v>
      </c>
      <c r="AP314" s="91"/>
      <c r="AQ314" s="217"/>
      <c r="AR314" s="196"/>
      <c r="AS314" s="265"/>
      <c r="AT314" s="94"/>
      <c r="AU314" s="84"/>
      <c r="AV314" s="136"/>
      <c r="AW314" s="81"/>
      <c r="AX314" s="137"/>
      <c r="AY314" s="138"/>
      <c r="AZ314" s="220">
        <f t="shared" si="16"/>
        <v>0</v>
      </c>
      <c r="BA314" s="220">
        <f t="shared" si="17"/>
        <v>0</v>
      </c>
    </row>
    <row r="315" spans="1:53" ht="50.1" customHeight="1" x14ac:dyDescent="0.25">
      <c r="A315" s="17">
        <f t="shared" si="18"/>
        <v>301</v>
      </c>
      <c r="B315" s="228"/>
      <c r="C315" s="221"/>
      <c r="D315" s="88"/>
      <c r="E315" s="100"/>
      <c r="F315" s="95"/>
      <c r="G315" s="114"/>
      <c r="H315" s="96"/>
      <c r="I315" s="97"/>
      <c r="J315" s="98"/>
      <c r="K315" s="101"/>
      <c r="L315" s="124"/>
      <c r="M315" s="333"/>
      <c r="N315" s="341"/>
      <c r="O315" s="190"/>
      <c r="P315" s="191"/>
      <c r="Q315" s="190"/>
      <c r="R315" s="191"/>
      <c r="S315" s="294"/>
      <c r="T315" s="300"/>
      <c r="U315" s="306"/>
      <c r="V315" s="308"/>
      <c r="W315" s="248"/>
      <c r="X315" s="342"/>
      <c r="Y315" s="337"/>
      <c r="Z315" s="123"/>
      <c r="AA315" s="83"/>
      <c r="AB315" s="123"/>
      <c r="AC315" s="83"/>
      <c r="AD315" s="123"/>
      <c r="AE315" s="83"/>
      <c r="AF315" s="123"/>
      <c r="AG315" s="243"/>
      <c r="AH315" s="33"/>
      <c r="AI315" s="245"/>
      <c r="AJ315" s="125"/>
      <c r="AK315" s="92"/>
      <c r="AL315" s="126"/>
      <c r="AM315" s="91"/>
      <c r="AN315" s="91"/>
      <c r="AO315" s="197">
        <f t="shared" si="19"/>
        <v>0</v>
      </c>
      <c r="AP315" s="126"/>
      <c r="AQ315" s="217"/>
      <c r="AR315" s="201"/>
      <c r="AS315" s="266"/>
      <c r="AT315" s="94"/>
      <c r="AU315" s="84"/>
      <c r="AV315" s="80"/>
      <c r="AW315" s="81"/>
      <c r="AX315" s="77"/>
      <c r="AY315" s="107"/>
      <c r="AZ315" s="220">
        <f t="shared" si="16"/>
        <v>0</v>
      </c>
      <c r="BA315" s="220">
        <f t="shared" si="17"/>
        <v>0</v>
      </c>
    </row>
    <row r="316" spans="1:53" ht="50.1" customHeight="1" x14ac:dyDescent="0.25">
      <c r="A316" s="17">
        <f t="shared" si="18"/>
        <v>302</v>
      </c>
      <c r="B316" s="229"/>
      <c r="C316" s="222"/>
      <c r="D316" s="112"/>
      <c r="E316" s="128"/>
      <c r="F316" s="183"/>
      <c r="G316" s="130"/>
      <c r="H316" s="131"/>
      <c r="I316" s="132"/>
      <c r="J316" s="189"/>
      <c r="K316" s="133"/>
      <c r="L316" s="134"/>
      <c r="M316" s="334"/>
      <c r="N316" s="343"/>
      <c r="O316" s="193"/>
      <c r="P316" s="191"/>
      <c r="Q316" s="193"/>
      <c r="R316" s="191"/>
      <c r="S316" s="296"/>
      <c r="T316" s="302"/>
      <c r="U316" s="306"/>
      <c r="V316" s="308"/>
      <c r="W316" s="249"/>
      <c r="X316" s="345"/>
      <c r="Y316" s="337"/>
      <c r="Z316" s="33"/>
      <c r="AA316" s="83"/>
      <c r="AB316" s="33"/>
      <c r="AC316" s="83"/>
      <c r="AD316" s="33"/>
      <c r="AE316" s="83"/>
      <c r="AF316" s="33"/>
      <c r="AG316" s="244"/>
      <c r="AH316" s="83"/>
      <c r="AI316" s="246"/>
      <c r="AJ316" s="195"/>
      <c r="AK316" s="92"/>
      <c r="AL316" s="91"/>
      <c r="AM316" s="92"/>
      <c r="AN316" s="351"/>
      <c r="AO316" s="197">
        <f t="shared" si="19"/>
        <v>0</v>
      </c>
      <c r="AP316" s="91"/>
      <c r="AQ316" s="217"/>
      <c r="AR316" s="196"/>
      <c r="AS316" s="265"/>
      <c r="AT316" s="94"/>
      <c r="AU316" s="84"/>
      <c r="AV316" s="136"/>
      <c r="AW316" s="81"/>
      <c r="AX316" s="137"/>
      <c r="AY316" s="138"/>
      <c r="AZ316" s="220">
        <f t="shared" si="16"/>
        <v>0</v>
      </c>
      <c r="BA316" s="220">
        <f t="shared" si="17"/>
        <v>0</v>
      </c>
    </row>
    <row r="317" spans="1:53" ht="50.1" customHeight="1" x14ac:dyDescent="0.25">
      <c r="A317" s="17">
        <f t="shared" si="18"/>
        <v>303</v>
      </c>
      <c r="B317" s="228"/>
      <c r="C317" s="221"/>
      <c r="D317" s="88"/>
      <c r="E317" s="100"/>
      <c r="F317" s="95"/>
      <c r="G317" s="114"/>
      <c r="H317" s="96"/>
      <c r="I317" s="97"/>
      <c r="J317" s="98"/>
      <c r="K317" s="101"/>
      <c r="L317" s="124"/>
      <c r="M317" s="333"/>
      <c r="N317" s="341"/>
      <c r="O317" s="190"/>
      <c r="P317" s="191"/>
      <c r="Q317" s="190"/>
      <c r="R317" s="191"/>
      <c r="S317" s="294"/>
      <c r="T317" s="300"/>
      <c r="U317" s="306"/>
      <c r="V317" s="308"/>
      <c r="W317" s="248"/>
      <c r="X317" s="342"/>
      <c r="Y317" s="337"/>
      <c r="Z317" s="123"/>
      <c r="AA317" s="83"/>
      <c r="AB317" s="123"/>
      <c r="AC317" s="83"/>
      <c r="AD317" s="123"/>
      <c r="AE317" s="83"/>
      <c r="AF317" s="123"/>
      <c r="AG317" s="243"/>
      <c r="AH317" s="33"/>
      <c r="AI317" s="245"/>
      <c r="AJ317" s="125"/>
      <c r="AK317" s="92"/>
      <c r="AL317" s="126"/>
      <c r="AM317" s="91"/>
      <c r="AN317" s="91"/>
      <c r="AO317" s="197">
        <f t="shared" si="19"/>
        <v>0</v>
      </c>
      <c r="AP317" s="126"/>
      <c r="AQ317" s="217"/>
      <c r="AR317" s="201"/>
      <c r="AS317" s="266"/>
      <c r="AT317" s="94"/>
      <c r="AU317" s="84"/>
      <c r="AV317" s="80"/>
      <c r="AW317" s="81"/>
      <c r="AX317" s="77"/>
      <c r="AY317" s="107"/>
      <c r="AZ317" s="220">
        <f t="shared" si="16"/>
        <v>0</v>
      </c>
      <c r="BA317" s="220">
        <f t="shared" si="17"/>
        <v>0</v>
      </c>
    </row>
    <row r="318" spans="1:53" ht="50.1" customHeight="1" x14ac:dyDescent="0.25">
      <c r="A318" s="17">
        <f t="shared" si="18"/>
        <v>304</v>
      </c>
      <c r="B318" s="229"/>
      <c r="C318" s="222"/>
      <c r="D318" s="112"/>
      <c r="E318" s="128"/>
      <c r="F318" s="183"/>
      <c r="G318" s="130"/>
      <c r="H318" s="131"/>
      <c r="I318" s="132"/>
      <c r="J318" s="189"/>
      <c r="K318" s="133"/>
      <c r="L318" s="134"/>
      <c r="M318" s="334"/>
      <c r="N318" s="343"/>
      <c r="O318" s="193"/>
      <c r="P318" s="191"/>
      <c r="Q318" s="193"/>
      <c r="R318" s="191"/>
      <c r="S318" s="296"/>
      <c r="T318" s="302"/>
      <c r="U318" s="306"/>
      <c r="V318" s="308"/>
      <c r="W318" s="249"/>
      <c r="X318" s="344"/>
      <c r="Y318" s="337"/>
      <c r="Z318" s="33"/>
      <c r="AA318" s="83"/>
      <c r="AB318" s="33"/>
      <c r="AC318" s="83"/>
      <c r="AD318" s="33"/>
      <c r="AE318" s="83"/>
      <c r="AF318" s="33"/>
      <c r="AG318" s="244"/>
      <c r="AH318" s="83"/>
      <c r="AI318" s="246"/>
      <c r="AJ318" s="195"/>
      <c r="AK318" s="92"/>
      <c r="AL318" s="91"/>
      <c r="AM318" s="92"/>
      <c r="AN318" s="351"/>
      <c r="AO318" s="197">
        <f t="shared" si="19"/>
        <v>0</v>
      </c>
      <c r="AP318" s="91"/>
      <c r="AQ318" s="217"/>
      <c r="AR318" s="196"/>
      <c r="AS318" s="265"/>
      <c r="AT318" s="94"/>
      <c r="AU318" s="84"/>
      <c r="AV318" s="136"/>
      <c r="AW318" s="81"/>
      <c r="AX318" s="137"/>
      <c r="AY318" s="138"/>
      <c r="AZ318" s="220">
        <f t="shared" si="16"/>
        <v>0</v>
      </c>
      <c r="BA318" s="220">
        <f t="shared" si="17"/>
        <v>0</v>
      </c>
    </row>
    <row r="319" spans="1:53" ht="50.1" customHeight="1" x14ac:dyDescent="0.25">
      <c r="A319" s="17">
        <f t="shared" si="18"/>
        <v>305</v>
      </c>
      <c r="B319" s="228"/>
      <c r="C319" s="221"/>
      <c r="D319" s="88"/>
      <c r="E319" s="100"/>
      <c r="F319" s="95"/>
      <c r="G319" s="114"/>
      <c r="H319" s="96"/>
      <c r="I319" s="97"/>
      <c r="J319" s="98"/>
      <c r="K319" s="101"/>
      <c r="L319" s="124"/>
      <c r="M319" s="333"/>
      <c r="N319" s="341"/>
      <c r="O319" s="190"/>
      <c r="P319" s="191"/>
      <c r="Q319" s="190"/>
      <c r="R319" s="191"/>
      <c r="S319" s="294"/>
      <c r="T319" s="300"/>
      <c r="U319" s="306"/>
      <c r="V319" s="308"/>
      <c r="W319" s="248"/>
      <c r="X319" s="342"/>
      <c r="Y319" s="337"/>
      <c r="Z319" s="123"/>
      <c r="AA319" s="83"/>
      <c r="AB319" s="123"/>
      <c r="AC319" s="83"/>
      <c r="AD319" s="123"/>
      <c r="AE319" s="83"/>
      <c r="AF319" s="123"/>
      <c r="AG319" s="243"/>
      <c r="AH319" s="33"/>
      <c r="AI319" s="245"/>
      <c r="AJ319" s="125"/>
      <c r="AK319" s="92"/>
      <c r="AL319" s="126"/>
      <c r="AM319" s="91"/>
      <c r="AN319" s="91"/>
      <c r="AO319" s="197">
        <f t="shared" si="19"/>
        <v>0</v>
      </c>
      <c r="AP319" s="126"/>
      <c r="AQ319" s="217"/>
      <c r="AR319" s="201"/>
      <c r="AS319" s="266"/>
      <c r="AT319" s="94"/>
      <c r="AU319" s="84"/>
      <c r="AV319" s="80"/>
      <c r="AW319" s="81"/>
      <c r="AX319" s="77"/>
      <c r="AY319" s="107"/>
      <c r="AZ319" s="220">
        <f t="shared" si="16"/>
        <v>0</v>
      </c>
      <c r="BA319" s="220">
        <f t="shared" si="17"/>
        <v>0</v>
      </c>
    </row>
    <row r="320" spans="1:53" ht="50.1" customHeight="1" x14ac:dyDescent="0.25">
      <c r="A320" s="17">
        <f t="shared" si="18"/>
        <v>306</v>
      </c>
      <c r="B320" s="229"/>
      <c r="C320" s="222"/>
      <c r="D320" s="112"/>
      <c r="E320" s="128"/>
      <c r="F320" s="183"/>
      <c r="G320" s="130"/>
      <c r="H320" s="131"/>
      <c r="I320" s="132"/>
      <c r="J320" s="189"/>
      <c r="K320" s="133"/>
      <c r="L320" s="134"/>
      <c r="M320" s="334"/>
      <c r="N320" s="343"/>
      <c r="O320" s="193"/>
      <c r="P320" s="191"/>
      <c r="Q320" s="193"/>
      <c r="R320" s="191"/>
      <c r="S320" s="296"/>
      <c r="T320" s="302"/>
      <c r="U320" s="306"/>
      <c r="V320" s="308"/>
      <c r="W320" s="249"/>
      <c r="X320" s="344"/>
      <c r="Y320" s="337"/>
      <c r="Z320" s="33"/>
      <c r="AA320" s="83"/>
      <c r="AB320" s="33"/>
      <c r="AC320" s="83"/>
      <c r="AD320" s="33"/>
      <c r="AE320" s="83"/>
      <c r="AF320" s="33"/>
      <c r="AG320" s="244"/>
      <c r="AH320" s="83"/>
      <c r="AI320" s="246"/>
      <c r="AJ320" s="102"/>
      <c r="AK320" s="92"/>
      <c r="AL320" s="91"/>
      <c r="AM320" s="92"/>
      <c r="AN320" s="351"/>
      <c r="AO320" s="197">
        <f t="shared" si="19"/>
        <v>0</v>
      </c>
      <c r="AP320" s="91"/>
      <c r="AQ320" s="217"/>
      <c r="AR320" s="196"/>
      <c r="AS320" s="265"/>
      <c r="AT320" s="94"/>
      <c r="AU320" s="84"/>
      <c r="AV320" s="136"/>
      <c r="AW320" s="81"/>
      <c r="AX320" s="137"/>
      <c r="AY320" s="138"/>
      <c r="AZ320" s="220">
        <f t="shared" si="16"/>
        <v>0</v>
      </c>
      <c r="BA320" s="220">
        <f t="shared" si="17"/>
        <v>0</v>
      </c>
    </row>
    <row r="321" spans="1:53" ht="50.1" customHeight="1" x14ac:dyDescent="0.25">
      <c r="A321" s="17">
        <f t="shared" si="18"/>
        <v>307</v>
      </c>
      <c r="B321" s="228"/>
      <c r="C321" s="221"/>
      <c r="D321" s="88"/>
      <c r="E321" s="100"/>
      <c r="F321" s="95"/>
      <c r="G321" s="114"/>
      <c r="H321" s="96"/>
      <c r="I321" s="97"/>
      <c r="J321" s="98"/>
      <c r="K321" s="101"/>
      <c r="L321" s="124"/>
      <c r="M321" s="333"/>
      <c r="N321" s="341"/>
      <c r="O321" s="190"/>
      <c r="P321" s="191"/>
      <c r="Q321" s="190"/>
      <c r="R321" s="191"/>
      <c r="S321" s="294"/>
      <c r="T321" s="300"/>
      <c r="U321" s="306"/>
      <c r="V321" s="308"/>
      <c r="W321" s="248"/>
      <c r="X321" s="342"/>
      <c r="Y321" s="337"/>
      <c r="Z321" s="123"/>
      <c r="AA321" s="83"/>
      <c r="AB321" s="123"/>
      <c r="AC321" s="83"/>
      <c r="AD321" s="123"/>
      <c r="AE321" s="83"/>
      <c r="AF321" s="123"/>
      <c r="AG321" s="243"/>
      <c r="AH321" s="33"/>
      <c r="AI321" s="245"/>
      <c r="AJ321" s="125"/>
      <c r="AK321" s="92"/>
      <c r="AL321" s="126"/>
      <c r="AM321" s="91"/>
      <c r="AN321" s="91"/>
      <c r="AO321" s="197">
        <f t="shared" si="19"/>
        <v>0</v>
      </c>
      <c r="AP321" s="126"/>
      <c r="AQ321" s="217"/>
      <c r="AR321" s="201"/>
      <c r="AS321" s="266"/>
      <c r="AT321" s="94"/>
      <c r="AU321" s="84"/>
      <c r="AV321" s="80"/>
      <c r="AW321" s="81"/>
      <c r="AX321" s="77"/>
      <c r="AY321" s="107"/>
      <c r="AZ321" s="220">
        <f t="shared" si="16"/>
        <v>0</v>
      </c>
      <c r="BA321" s="220">
        <f t="shared" si="17"/>
        <v>0</v>
      </c>
    </row>
    <row r="322" spans="1:53" ht="50.1" customHeight="1" x14ac:dyDescent="0.25">
      <c r="A322" s="17">
        <f t="shared" si="18"/>
        <v>308</v>
      </c>
      <c r="B322" s="229"/>
      <c r="C322" s="222"/>
      <c r="D322" s="112"/>
      <c r="E322" s="128"/>
      <c r="F322" s="183"/>
      <c r="G322" s="130"/>
      <c r="H322" s="131"/>
      <c r="I322" s="132"/>
      <c r="J322" s="189"/>
      <c r="K322" s="133"/>
      <c r="L322" s="134"/>
      <c r="M322" s="334"/>
      <c r="N322" s="343"/>
      <c r="O322" s="193"/>
      <c r="P322" s="191"/>
      <c r="Q322" s="193"/>
      <c r="R322" s="191"/>
      <c r="S322" s="296"/>
      <c r="T322" s="302"/>
      <c r="U322" s="306"/>
      <c r="V322" s="308"/>
      <c r="W322" s="249"/>
      <c r="X322" s="345"/>
      <c r="Y322" s="337"/>
      <c r="Z322" s="33"/>
      <c r="AA322" s="83"/>
      <c r="AB322" s="33"/>
      <c r="AC322" s="83"/>
      <c r="AD322" s="33"/>
      <c r="AE322" s="83"/>
      <c r="AF322" s="33"/>
      <c r="AG322" s="244"/>
      <c r="AH322" s="83"/>
      <c r="AI322" s="246"/>
      <c r="AJ322" s="102"/>
      <c r="AK322" s="92"/>
      <c r="AL322" s="91"/>
      <c r="AM322" s="92"/>
      <c r="AN322" s="351"/>
      <c r="AO322" s="197">
        <f t="shared" si="19"/>
        <v>0</v>
      </c>
      <c r="AP322" s="91"/>
      <c r="AQ322" s="217"/>
      <c r="AR322" s="196"/>
      <c r="AS322" s="265"/>
      <c r="AT322" s="94"/>
      <c r="AU322" s="84"/>
      <c r="AV322" s="136"/>
      <c r="AW322" s="81"/>
      <c r="AX322" s="137"/>
      <c r="AY322" s="138"/>
      <c r="AZ322" s="220">
        <f t="shared" si="16"/>
        <v>0</v>
      </c>
      <c r="BA322" s="220">
        <f t="shared" si="17"/>
        <v>0</v>
      </c>
    </row>
    <row r="323" spans="1:53" ht="50.1" customHeight="1" x14ac:dyDescent="0.25">
      <c r="A323" s="17">
        <f t="shared" si="18"/>
        <v>309</v>
      </c>
      <c r="B323" s="228"/>
      <c r="C323" s="221"/>
      <c r="D323" s="88"/>
      <c r="E323" s="100"/>
      <c r="F323" s="95"/>
      <c r="G323" s="114"/>
      <c r="H323" s="96"/>
      <c r="I323" s="97"/>
      <c r="J323" s="98"/>
      <c r="K323" s="101"/>
      <c r="L323" s="124"/>
      <c r="M323" s="333"/>
      <c r="N323" s="341"/>
      <c r="O323" s="190"/>
      <c r="P323" s="191"/>
      <c r="Q323" s="190"/>
      <c r="R323" s="191"/>
      <c r="S323" s="294"/>
      <c r="T323" s="300"/>
      <c r="U323" s="306"/>
      <c r="V323" s="308"/>
      <c r="W323" s="248"/>
      <c r="X323" s="342"/>
      <c r="Y323" s="337"/>
      <c r="Z323" s="123"/>
      <c r="AA323" s="83"/>
      <c r="AB323" s="123"/>
      <c r="AC323" s="83"/>
      <c r="AD323" s="123"/>
      <c r="AE323" s="83"/>
      <c r="AF323" s="123"/>
      <c r="AG323" s="243"/>
      <c r="AH323" s="33"/>
      <c r="AI323" s="245"/>
      <c r="AJ323" s="125"/>
      <c r="AK323" s="92"/>
      <c r="AL323" s="126"/>
      <c r="AM323" s="91"/>
      <c r="AN323" s="91"/>
      <c r="AO323" s="197">
        <f t="shared" si="19"/>
        <v>0</v>
      </c>
      <c r="AP323" s="126"/>
      <c r="AQ323" s="217"/>
      <c r="AR323" s="201"/>
      <c r="AS323" s="266"/>
      <c r="AT323" s="94"/>
      <c r="AU323" s="84"/>
      <c r="AV323" s="80"/>
      <c r="AW323" s="81"/>
      <c r="AX323" s="77"/>
      <c r="AY323" s="107"/>
      <c r="AZ323" s="220">
        <f t="shared" si="16"/>
        <v>0</v>
      </c>
      <c r="BA323" s="220">
        <f t="shared" si="17"/>
        <v>0</v>
      </c>
    </row>
    <row r="324" spans="1:53" ht="50.1" customHeight="1" x14ac:dyDescent="0.25">
      <c r="A324" s="17">
        <f t="shared" si="18"/>
        <v>310</v>
      </c>
      <c r="B324" s="229"/>
      <c r="C324" s="222"/>
      <c r="D324" s="112"/>
      <c r="E324" s="128"/>
      <c r="F324" s="183"/>
      <c r="G324" s="130"/>
      <c r="H324" s="131"/>
      <c r="I324" s="132"/>
      <c r="J324" s="189"/>
      <c r="K324" s="133"/>
      <c r="L324" s="134"/>
      <c r="M324" s="334"/>
      <c r="N324" s="343"/>
      <c r="O324" s="193"/>
      <c r="P324" s="191"/>
      <c r="Q324" s="193"/>
      <c r="R324" s="191"/>
      <c r="S324" s="296"/>
      <c r="T324" s="302"/>
      <c r="U324" s="306"/>
      <c r="V324" s="308"/>
      <c r="W324" s="249"/>
      <c r="X324" s="344"/>
      <c r="Y324" s="337"/>
      <c r="Z324" s="33"/>
      <c r="AA324" s="83"/>
      <c r="AB324" s="33"/>
      <c r="AC324" s="83"/>
      <c r="AD324" s="33"/>
      <c r="AE324" s="83"/>
      <c r="AF324" s="33"/>
      <c r="AG324" s="244"/>
      <c r="AH324" s="83"/>
      <c r="AI324" s="246"/>
      <c r="AJ324" s="102"/>
      <c r="AK324" s="92"/>
      <c r="AL324" s="91"/>
      <c r="AM324" s="92"/>
      <c r="AN324" s="351"/>
      <c r="AO324" s="197">
        <f t="shared" si="19"/>
        <v>0</v>
      </c>
      <c r="AP324" s="91"/>
      <c r="AQ324" s="217"/>
      <c r="AR324" s="196"/>
      <c r="AS324" s="265"/>
      <c r="AT324" s="94"/>
      <c r="AU324" s="84"/>
      <c r="AV324" s="136"/>
      <c r="AW324" s="81"/>
      <c r="AX324" s="137"/>
      <c r="AY324" s="138"/>
      <c r="AZ324" s="220">
        <f t="shared" si="16"/>
        <v>0</v>
      </c>
      <c r="BA324" s="220">
        <f t="shared" si="17"/>
        <v>0</v>
      </c>
    </row>
    <row r="325" spans="1:53" ht="50.1" customHeight="1" x14ac:dyDescent="0.25">
      <c r="A325" s="17">
        <f t="shared" si="18"/>
        <v>311</v>
      </c>
      <c r="B325" s="228"/>
      <c r="C325" s="221"/>
      <c r="D325" s="88"/>
      <c r="E325" s="100"/>
      <c r="F325" s="95"/>
      <c r="G325" s="114"/>
      <c r="H325" s="96"/>
      <c r="I325" s="97"/>
      <c r="J325" s="98"/>
      <c r="K325" s="101"/>
      <c r="L325" s="124"/>
      <c r="M325" s="333"/>
      <c r="N325" s="341"/>
      <c r="O325" s="190"/>
      <c r="P325" s="191"/>
      <c r="Q325" s="190"/>
      <c r="R325" s="191"/>
      <c r="S325" s="294"/>
      <c r="T325" s="300"/>
      <c r="U325" s="306"/>
      <c r="V325" s="308"/>
      <c r="W325" s="248"/>
      <c r="X325" s="342"/>
      <c r="Y325" s="337"/>
      <c r="Z325" s="123"/>
      <c r="AA325" s="83"/>
      <c r="AB325" s="123"/>
      <c r="AC325" s="83"/>
      <c r="AD325" s="123"/>
      <c r="AE325" s="83"/>
      <c r="AF325" s="123"/>
      <c r="AG325" s="243"/>
      <c r="AH325" s="33"/>
      <c r="AI325" s="245"/>
      <c r="AJ325" s="125"/>
      <c r="AK325" s="92"/>
      <c r="AL325" s="126"/>
      <c r="AM325" s="91"/>
      <c r="AN325" s="91"/>
      <c r="AO325" s="197">
        <f t="shared" si="19"/>
        <v>0</v>
      </c>
      <c r="AP325" s="126"/>
      <c r="AQ325" s="217"/>
      <c r="AR325" s="201"/>
      <c r="AS325" s="266"/>
      <c r="AT325" s="94"/>
      <c r="AU325" s="84"/>
      <c r="AV325" s="80"/>
      <c r="AW325" s="81"/>
      <c r="AX325" s="77"/>
      <c r="AY325" s="107"/>
      <c r="AZ325" s="220">
        <f t="shared" si="16"/>
        <v>0</v>
      </c>
      <c r="BA325" s="220">
        <f t="shared" si="17"/>
        <v>0</v>
      </c>
    </row>
    <row r="326" spans="1:53" ht="50.1" customHeight="1" x14ac:dyDescent="0.25">
      <c r="A326" s="17">
        <f t="shared" si="18"/>
        <v>312</v>
      </c>
      <c r="B326" s="229"/>
      <c r="C326" s="222"/>
      <c r="D326" s="112"/>
      <c r="E326" s="128"/>
      <c r="F326" s="183"/>
      <c r="G326" s="130"/>
      <c r="H326" s="131"/>
      <c r="I326" s="132"/>
      <c r="J326" s="189"/>
      <c r="K326" s="133"/>
      <c r="L326" s="134"/>
      <c r="M326" s="334"/>
      <c r="N326" s="343"/>
      <c r="O326" s="193"/>
      <c r="P326" s="191"/>
      <c r="Q326" s="193"/>
      <c r="R326" s="191"/>
      <c r="S326" s="296"/>
      <c r="T326" s="302"/>
      <c r="U326" s="306"/>
      <c r="V326" s="308"/>
      <c r="W326" s="249"/>
      <c r="X326" s="344"/>
      <c r="Y326" s="337"/>
      <c r="Z326" s="33"/>
      <c r="AA326" s="83"/>
      <c r="AB326" s="33"/>
      <c r="AC326" s="83"/>
      <c r="AD326" s="33"/>
      <c r="AE326" s="83"/>
      <c r="AF326" s="33"/>
      <c r="AG326" s="244"/>
      <c r="AH326" s="83"/>
      <c r="AI326" s="246"/>
      <c r="AJ326" s="102"/>
      <c r="AK326" s="92"/>
      <c r="AL326" s="91"/>
      <c r="AM326" s="92"/>
      <c r="AN326" s="351"/>
      <c r="AO326" s="197">
        <f t="shared" si="19"/>
        <v>0</v>
      </c>
      <c r="AP326" s="91"/>
      <c r="AQ326" s="217"/>
      <c r="AR326" s="196"/>
      <c r="AS326" s="265"/>
      <c r="AT326" s="94"/>
      <c r="AU326" s="84"/>
      <c r="AV326" s="136"/>
      <c r="AW326" s="81"/>
      <c r="AX326" s="137"/>
      <c r="AY326" s="138"/>
      <c r="AZ326" s="220">
        <f t="shared" si="16"/>
        <v>0</v>
      </c>
      <c r="BA326" s="220">
        <f t="shared" si="17"/>
        <v>0</v>
      </c>
    </row>
    <row r="327" spans="1:53" ht="50.1" customHeight="1" x14ac:dyDescent="0.25">
      <c r="A327" s="17">
        <f t="shared" si="18"/>
        <v>313</v>
      </c>
      <c r="B327" s="228"/>
      <c r="C327" s="221"/>
      <c r="D327" s="88"/>
      <c r="E327" s="100"/>
      <c r="F327" s="95"/>
      <c r="G327" s="114"/>
      <c r="H327" s="96"/>
      <c r="I327" s="97"/>
      <c r="J327" s="98"/>
      <c r="K327" s="101"/>
      <c r="L327" s="124"/>
      <c r="M327" s="333"/>
      <c r="N327" s="341"/>
      <c r="O327" s="190"/>
      <c r="P327" s="191"/>
      <c r="Q327" s="190"/>
      <c r="R327" s="191"/>
      <c r="S327" s="294"/>
      <c r="T327" s="300"/>
      <c r="U327" s="306"/>
      <c r="V327" s="308"/>
      <c r="W327" s="248"/>
      <c r="X327" s="342"/>
      <c r="Y327" s="337"/>
      <c r="Z327" s="123"/>
      <c r="AA327" s="83"/>
      <c r="AB327" s="123"/>
      <c r="AC327" s="83"/>
      <c r="AD327" s="123"/>
      <c r="AE327" s="83"/>
      <c r="AF327" s="123"/>
      <c r="AG327" s="243"/>
      <c r="AH327" s="33"/>
      <c r="AI327" s="245"/>
      <c r="AJ327" s="125"/>
      <c r="AK327" s="92"/>
      <c r="AL327" s="126"/>
      <c r="AM327" s="91"/>
      <c r="AN327" s="91"/>
      <c r="AO327" s="197">
        <f t="shared" si="19"/>
        <v>0</v>
      </c>
      <c r="AP327" s="126"/>
      <c r="AQ327" s="217"/>
      <c r="AR327" s="201"/>
      <c r="AS327" s="266"/>
      <c r="AT327" s="94"/>
      <c r="AU327" s="84"/>
      <c r="AV327" s="80"/>
      <c r="AW327" s="81"/>
      <c r="AX327" s="77"/>
      <c r="AY327" s="107"/>
      <c r="AZ327" s="220">
        <f t="shared" si="16"/>
        <v>0</v>
      </c>
      <c r="BA327" s="220">
        <f t="shared" si="17"/>
        <v>0</v>
      </c>
    </row>
    <row r="328" spans="1:53" ht="50.1" customHeight="1" x14ac:dyDescent="0.25">
      <c r="A328" s="17">
        <f t="shared" si="18"/>
        <v>314</v>
      </c>
      <c r="B328" s="229"/>
      <c r="C328" s="222"/>
      <c r="D328" s="112"/>
      <c r="E328" s="128"/>
      <c r="F328" s="183"/>
      <c r="G328" s="130"/>
      <c r="H328" s="131"/>
      <c r="I328" s="132"/>
      <c r="J328" s="189"/>
      <c r="K328" s="133"/>
      <c r="L328" s="134"/>
      <c r="M328" s="334"/>
      <c r="N328" s="343"/>
      <c r="O328" s="193"/>
      <c r="P328" s="191"/>
      <c r="Q328" s="193"/>
      <c r="R328" s="191"/>
      <c r="S328" s="296"/>
      <c r="T328" s="302"/>
      <c r="U328" s="306"/>
      <c r="V328" s="308"/>
      <c r="W328" s="249"/>
      <c r="X328" s="344"/>
      <c r="Y328" s="337"/>
      <c r="Z328" s="33"/>
      <c r="AA328" s="83"/>
      <c r="AB328" s="33"/>
      <c r="AC328" s="83"/>
      <c r="AD328" s="33"/>
      <c r="AE328" s="83"/>
      <c r="AF328" s="33"/>
      <c r="AG328" s="244"/>
      <c r="AH328" s="83"/>
      <c r="AI328" s="246"/>
      <c r="AJ328" s="102"/>
      <c r="AK328" s="92"/>
      <c r="AL328" s="91"/>
      <c r="AM328" s="92"/>
      <c r="AN328" s="351"/>
      <c r="AO328" s="197">
        <f t="shared" si="19"/>
        <v>0</v>
      </c>
      <c r="AP328" s="91"/>
      <c r="AQ328" s="217"/>
      <c r="AR328" s="196"/>
      <c r="AS328" s="265"/>
      <c r="AT328" s="94"/>
      <c r="AU328" s="84"/>
      <c r="AV328" s="136"/>
      <c r="AW328" s="81"/>
      <c r="AX328" s="137"/>
      <c r="AY328" s="138"/>
      <c r="AZ328" s="220">
        <f t="shared" si="16"/>
        <v>0</v>
      </c>
      <c r="BA328" s="220">
        <f t="shared" si="17"/>
        <v>0</v>
      </c>
    </row>
    <row r="329" spans="1:53" ht="50.1" customHeight="1" x14ac:dyDescent="0.25">
      <c r="A329" s="17">
        <f t="shared" si="18"/>
        <v>315</v>
      </c>
      <c r="B329" s="228"/>
      <c r="C329" s="221"/>
      <c r="D329" s="88"/>
      <c r="E329" s="100"/>
      <c r="F329" s="95"/>
      <c r="G329" s="114"/>
      <c r="H329" s="96"/>
      <c r="I329" s="97"/>
      <c r="J329" s="98"/>
      <c r="K329" s="101"/>
      <c r="L329" s="124"/>
      <c r="M329" s="333"/>
      <c r="N329" s="341"/>
      <c r="O329" s="190"/>
      <c r="P329" s="191"/>
      <c r="Q329" s="190"/>
      <c r="R329" s="191"/>
      <c r="S329" s="294"/>
      <c r="T329" s="300"/>
      <c r="U329" s="306"/>
      <c r="V329" s="308"/>
      <c r="W329" s="248"/>
      <c r="X329" s="342"/>
      <c r="Y329" s="337"/>
      <c r="Z329" s="123"/>
      <c r="AA329" s="83"/>
      <c r="AB329" s="123"/>
      <c r="AC329" s="83"/>
      <c r="AD329" s="123"/>
      <c r="AE329" s="83"/>
      <c r="AF329" s="123"/>
      <c r="AG329" s="243"/>
      <c r="AH329" s="33"/>
      <c r="AI329" s="245"/>
      <c r="AJ329" s="125"/>
      <c r="AK329" s="92"/>
      <c r="AL329" s="126"/>
      <c r="AM329" s="91"/>
      <c r="AN329" s="91"/>
      <c r="AO329" s="197">
        <f t="shared" si="19"/>
        <v>0</v>
      </c>
      <c r="AP329" s="126"/>
      <c r="AQ329" s="217"/>
      <c r="AR329" s="201"/>
      <c r="AS329" s="266"/>
      <c r="AT329" s="94"/>
      <c r="AU329" s="84"/>
      <c r="AV329" s="80"/>
      <c r="AW329" s="81"/>
      <c r="AX329" s="77"/>
      <c r="AY329" s="107"/>
      <c r="AZ329" s="220">
        <f t="shared" si="16"/>
        <v>0</v>
      </c>
      <c r="BA329" s="220">
        <f t="shared" si="17"/>
        <v>0</v>
      </c>
    </row>
    <row r="330" spans="1:53" ht="50.1" customHeight="1" x14ac:dyDescent="0.25">
      <c r="A330" s="17">
        <f t="shared" si="18"/>
        <v>316</v>
      </c>
      <c r="B330" s="229"/>
      <c r="C330" s="222"/>
      <c r="D330" s="112"/>
      <c r="E330" s="128"/>
      <c r="F330" s="183"/>
      <c r="G330" s="130"/>
      <c r="H330" s="131"/>
      <c r="I330" s="132"/>
      <c r="J330" s="189"/>
      <c r="K330" s="133"/>
      <c r="L330" s="134"/>
      <c r="M330" s="334"/>
      <c r="N330" s="343"/>
      <c r="O330" s="193"/>
      <c r="P330" s="191"/>
      <c r="Q330" s="193"/>
      <c r="R330" s="191"/>
      <c r="S330" s="296"/>
      <c r="T330" s="302"/>
      <c r="U330" s="306"/>
      <c r="V330" s="308"/>
      <c r="W330" s="249"/>
      <c r="X330" s="344"/>
      <c r="Y330" s="337"/>
      <c r="Z330" s="33"/>
      <c r="AA330" s="83"/>
      <c r="AB330" s="33"/>
      <c r="AC330" s="83"/>
      <c r="AD330" s="33"/>
      <c r="AE330" s="83"/>
      <c r="AF330" s="33"/>
      <c r="AG330" s="244"/>
      <c r="AH330" s="83"/>
      <c r="AI330" s="246"/>
      <c r="AJ330" s="102"/>
      <c r="AK330" s="92"/>
      <c r="AL330" s="91"/>
      <c r="AM330" s="92"/>
      <c r="AN330" s="351"/>
      <c r="AO330" s="197">
        <f t="shared" si="19"/>
        <v>0</v>
      </c>
      <c r="AP330" s="91"/>
      <c r="AQ330" s="217"/>
      <c r="AR330" s="196"/>
      <c r="AS330" s="265"/>
      <c r="AT330" s="94"/>
      <c r="AU330" s="84"/>
      <c r="AV330" s="136"/>
      <c r="AW330" s="81"/>
      <c r="AX330" s="137"/>
      <c r="AY330" s="138"/>
      <c r="AZ330" s="220">
        <f t="shared" si="16"/>
        <v>0</v>
      </c>
      <c r="BA330" s="220">
        <f t="shared" si="17"/>
        <v>0</v>
      </c>
    </row>
    <row r="331" spans="1:53" ht="50.1" customHeight="1" x14ac:dyDescent="0.25">
      <c r="A331" s="17">
        <f t="shared" si="18"/>
        <v>317</v>
      </c>
      <c r="B331" s="228"/>
      <c r="C331" s="221"/>
      <c r="D331" s="88"/>
      <c r="E331" s="100"/>
      <c r="F331" s="95"/>
      <c r="G331" s="114"/>
      <c r="H331" s="96"/>
      <c r="I331" s="97"/>
      <c r="J331" s="98"/>
      <c r="K331" s="101"/>
      <c r="L331" s="124"/>
      <c r="M331" s="333"/>
      <c r="N331" s="341"/>
      <c r="O331" s="190"/>
      <c r="P331" s="191"/>
      <c r="Q331" s="190"/>
      <c r="R331" s="191"/>
      <c r="S331" s="294"/>
      <c r="T331" s="300"/>
      <c r="U331" s="306"/>
      <c r="V331" s="308"/>
      <c r="W331" s="248"/>
      <c r="X331" s="342"/>
      <c r="Y331" s="337"/>
      <c r="Z331" s="123"/>
      <c r="AA331" s="83"/>
      <c r="AB331" s="123"/>
      <c r="AC331" s="83"/>
      <c r="AD331" s="123"/>
      <c r="AE331" s="83"/>
      <c r="AF331" s="123"/>
      <c r="AG331" s="243"/>
      <c r="AH331" s="33"/>
      <c r="AI331" s="245"/>
      <c r="AJ331" s="125"/>
      <c r="AK331" s="92"/>
      <c r="AL331" s="126"/>
      <c r="AM331" s="91"/>
      <c r="AN331" s="91"/>
      <c r="AO331" s="197">
        <f t="shared" si="19"/>
        <v>0</v>
      </c>
      <c r="AP331" s="126"/>
      <c r="AQ331" s="217"/>
      <c r="AR331" s="201"/>
      <c r="AS331" s="266"/>
      <c r="AT331" s="94"/>
      <c r="AU331" s="84"/>
      <c r="AV331" s="80"/>
      <c r="AW331" s="81"/>
      <c r="AX331" s="77"/>
      <c r="AY331" s="107"/>
      <c r="AZ331" s="220">
        <f t="shared" si="16"/>
        <v>0</v>
      </c>
      <c r="BA331" s="220">
        <f t="shared" si="17"/>
        <v>0</v>
      </c>
    </row>
    <row r="332" spans="1:53" ht="50.1" customHeight="1" x14ac:dyDescent="0.25">
      <c r="A332" s="17">
        <f t="shared" si="18"/>
        <v>318</v>
      </c>
      <c r="B332" s="229"/>
      <c r="C332" s="222"/>
      <c r="D332" s="112"/>
      <c r="E332" s="128"/>
      <c r="F332" s="183"/>
      <c r="G332" s="130"/>
      <c r="H332" s="131"/>
      <c r="I332" s="132"/>
      <c r="J332" s="189"/>
      <c r="K332" s="133"/>
      <c r="L332" s="134"/>
      <c r="M332" s="334"/>
      <c r="N332" s="343"/>
      <c r="O332" s="193"/>
      <c r="P332" s="191"/>
      <c r="Q332" s="193"/>
      <c r="R332" s="191"/>
      <c r="S332" s="296"/>
      <c r="T332" s="302"/>
      <c r="U332" s="306"/>
      <c r="V332" s="308"/>
      <c r="W332" s="249"/>
      <c r="X332" s="344"/>
      <c r="Y332" s="337"/>
      <c r="Z332" s="33"/>
      <c r="AA332" s="83"/>
      <c r="AB332" s="33"/>
      <c r="AC332" s="83"/>
      <c r="AD332" s="33"/>
      <c r="AE332" s="83"/>
      <c r="AF332" s="33"/>
      <c r="AG332" s="244"/>
      <c r="AH332" s="83"/>
      <c r="AI332" s="246"/>
      <c r="AJ332" s="102"/>
      <c r="AK332" s="92"/>
      <c r="AL332" s="91"/>
      <c r="AM332" s="92"/>
      <c r="AN332" s="351"/>
      <c r="AO332" s="197">
        <f t="shared" si="19"/>
        <v>0</v>
      </c>
      <c r="AP332" s="91"/>
      <c r="AQ332" s="217"/>
      <c r="AR332" s="196"/>
      <c r="AS332" s="265"/>
      <c r="AT332" s="94"/>
      <c r="AU332" s="84"/>
      <c r="AV332" s="136"/>
      <c r="AW332" s="81"/>
      <c r="AX332" s="137"/>
      <c r="AY332" s="138"/>
      <c r="AZ332" s="220">
        <f t="shared" si="16"/>
        <v>0</v>
      </c>
      <c r="BA332" s="220">
        <f t="shared" si="17"/>
        <v>0</v>
      </c>
    </row>
    <row r="333" spans="1:53" ht="50.1" customHeight="1" x14ac:dyDescent="0.25">
      <c r="A333" s="17">
        <f t="shared" si="18"/>
        <v>319</v>
      </c>
      <c r="B333" s="228"/>
      <c r="C333" s="221"/>
      <c r="D333" s="88"/>
      <c r="E333" s="100"/>
      <c r="F333" s="95"/>
      <c r="G333" s="114"/>
      <c r="H333" s="96"/>
      <c r="I333" s="97"/>
      <c r="J333" s="98"/>
      <c r="K333" s="101"/>
      <c r="L333" s="124"/>
      <c r="M333" s="333"/>
      <c r="N333" s="341"/>
      <c r="O333" s="190"/>
      <c r="P333" s="191"/>
      <c r="Q333" s="190"/>
      <c r="R333" s="191"/>
      <c r="S333" s="294"/>
      <c r="T333" s="300"/>
      <c r="U333" s="306"/>
      <c r="V333" s="308"/>
      <c r="W333" s="248"/>
      <c r="X333" s="342"/>
      <c r="Y333" s="337"/>
      <c r="Z333" s="123"/>
      <c r="AA333" s="83"/>
      <c r="AB333" s="123"/>
      <c r="AC333" s="83"/>
      <c r="AD333" s="123"/>
      <c r="AE333" s="83"/>
      <c r="AF333" s="123"/>
      <c r="AG333" s="243"/>
      <c r="AH333" s="33"/>
      <c r="AI333" s="245"/>
      <c r="AJ333" s="125"/>
      <c r="AK333" s="92"/>
      <c r="AL333" s="126"/>
      <c r="AM333" s="91"/>
      <c r="AN333" s="91"/>
      <c r="AO333" s="197">
        <f t="shared" si="19"/>
        <v>0</v>
      </c>
      <c r="AP333" s="126"/>
      <c r="AQ333" s="217"/>
      <c r="AR333" s="201"/>
      <c r="AS333" s="266"/>
      <c r="AT333" s="94"/>
      <c r="AU333" s="84"/>
      <c r="AV333" s="80"/>
      <c r="AW333" s="81"/>
      <c r="AX333" s="77"/>
      <c r="AY333" s="107"/>
      <c r="AZ333" s="220">
        <f t="shared" si="16"/>
        <v>0</v>
      </c>
      <c r="BA333" s="220">
        <f t="shared" si="17"/>
        <v>0</v>
      </c>
    </row>
    <row r="334" spans="1:53" ht="50.1" customHeight="1" x14ac:dyDescent="0.25">
      <c r="A334" s="17">
        <f t="shared" si="18"/>
        <v>320</v>
      </c>
      <c r="B334" s="229"/>
      <c r="C334" s="222"/>
      <c r="D334" s="112"/>
      <c r="E334" s="128"/>
      <c r="F334" s="183"/>
      <c r="G334" s="130"/>
      <c r="H334" s="131"/>
      <c r="I334" s="132"/>
      <c r="J334" s="189"/>
      <c r="K334" s="133"/>
      <c r="L334" s="134"/>
      <c r="M334" s="334"/>
      <c r="N334" s="343"/>
      <c r="O334" s="193"/>
      <c r="P334" s="191"/>
      <c r="Q334" s="193"/>
      <c r="R334" s="191"/>
      <c r="S334" s="296"/>
      <c r="T334" s="302"/>
      <c r="U334" s="306"/>
      <c r="V334" s="308"/>
      <c r="W334" s="249"/>
      <c r="X334" s="344"/>
      <c r="Y334" s="337"/>
      <c r="Z334" s="33"/>
      <c r="AA334" s="83"/>
      <c r="AB334" s="33"/>
      <c r="AC334" s="83"/>
      <c r="AD334" s="33"/>
      <c r="AE334" s="83"/>
      <c r="AF334" s="33"/>
      <c r="AG334" s="244"/>
      <c r="AH334" s="83"/>
      <c r="AI334" s="246"/>
      <c r="AJ334" s="195"/>
      <c r="AK334" s="92"/>
      <c r="AL334" s="91"/>
      <c r="AM334" s="92"/>
      <c r="AN334" s="351"/>
      <c r="AO334" s="197">
        <f t="shared" si="19"/>
        <v>0</v>
      </c>
      <c r="AP334" s="91"/>
      <c r="AQ334" s="217"/>
      <c r="AR334" s="196"/>
      <c r="AS334" s="265"/>
      <c r="AT334" s="94"/>
      <c r="AU334" s="84"/>
      <c r="AV334" s="136"/>
      <c r="AW334" s="81"/>
      <c r="AX334" s="137"/>
      <c r="AY334" s="138"/>
      <c r="AZ334" s="220">
        <f t="shared" si="16"/>
        <v>0</v>
      </c>
      <c r="BA334" s="220">
        <f t="shared" si="17"/>
        <v>0</v>
      </c>
    </row>
    <row r="335" spans="1:53" ht="50.1" customHeight="1" x14ac:dyDescent="0.25">
      <c r="A335" s="17">
        <f t="shared" si="18"/>
        <v>321</v>
      </c>
      <c r="B335" s="228"/>
      <c r="C335" s="221"/>
      <c r="D335" s="88"/>
      <c r="E335" s="100"/>
      <c r="F335" s="95"/>
      <c r="G335" s="114"/>
      <c r="H335" s="96"/>
      <c r="I335" s="97"/>
      <c r="J335" s="98"/>
      <c r="K335" s="101"/>
      <c r="L335" s="124"/>
      <c r="M335" s="333"/>
      <c r="N335" s="341"/>
      <c r="O335" s="190"/>
      <c r="P335" s="191"/>
      <c r="Q335" s="190"/>
      <c r="R335" s="191"/>
      <c r="S335" s="294"/>
      <c r="T335" s="300"/>
      <c r="U335" s="306"/>
      <c r="V335" s="308"/>
      <c r="W335" s="248"/>
      <c r="X335" s="342"/>
      <c r="Y335" s="337"/>
      <c r="Z335" s="123"/>
      <c r="AA335" s="83"/>
      <c r="AB335" s="123"/>
      <c r="AC335" s="83"/>
      <c r="AD335" s="123"/>
      <c r="AE335" s="83"/>
      <c r="AF335" s="123"/>
      <c r="AG335" s="243"/>
      <c r="AH335" s="33"/>
      <c r="AI335" s="245"/>
      <c r="AJ335" s="125"/>
      <c r="AK335" s="92"/>
      <c r="AL335" s="126"/>
      <c r="AM335" s="91"/>
      <c r="AN335" s="91"/>
      <c r="AO335" s="197">
        <f t="shared" si="19"/>
        <v>0</v>
      </c>
      <c r="AP335" s="126"/>
      <c r="AQ335" s="217"/>
      <c r="AR335" s="201"/>
      <c r="AS335" s="266"/>
      <c r="AT335" s="94"/>
      <c r="AU335" s="84"/>
      <c r="AV335" s="80"/>
      <c r="AW335" s="81"/>
      <c r="AX335" s="77"/>
      <c r="AY335" s="107"/>
      <c r="AZ335" s="220">
        <f t="shared" ref="AZ335:AZ398" si="20">M335-B335</f>
        <v>0</v>
      </c>
      <c r="BA335" s="220">
        <f t="shared" ref="BA335:BA398" si="21">AU335-M335</f>
        <v>0</v>
      </c>
    </row>
    <row r="336" spans="1:53" ht="50.1" customHeight="1" x14ac:dyDescent="0.25">
      <c r="A336" s="17">
        <f t="shared" ref="A336:A399" si="22">ROW(A322)</f>
        <v>322</v>
      </c>
      <c r="B336" s="229"/>
      <c r="C336" s="222"/>
      <c r="D336" s="112"/>
      <c r="E336" s="128"/>
      <c r="F336" s="183"/>
      <c r="G336" s="130"/>
      <c r="H336" s="131"/>
      <c r="I336" s="132"/>
      <c r="J336" s="189"/>
      <c r="K336" s="133"/>
      <c r="L336" s="134"/>
      <c r="M336" s="334"/>
      <c r="N336" s="343"/>
      <c r="O336" s="193"/>
      <c r="P336" s="191"/>
      <c r="Q336" s="193"/>
      <c r="R336" s="191"/>
      <c r="S336" s="296"/>
      <c r="T336" s="302"/>
      <c r="U336" s="306"/>
      <c r="V336" s="308"/>
      <c r="W336" s="249"/>
      <c r="X336" s="344"/>
      <c r="Y336" s="337"/>
      <c r="Z336" s="33"/>
      <c r="AA336" s="83"/>
      <c r="AB336" s="33"/>
      <c r="AC336" s="83"/>
      <c r="AD336" s="33"/>
      <c r="AE336" s="83"/>
      <c r="AF336" s="33"/>
      <c r="AG336" s="244"/>
      <c r="AH336" s="83"/>
      <c r="AI336" s="246"/>
      <c r="AJ336" s="102"/>
      <c r="AK336" s="92"/>
      <c r="AL336" s="91"/>
      <c r="AM336" s="92"/>
      <c r="AN336" s="351"/>
      <c r="AO336" s="197">
        <f t="shared" ref="AO336:AO399" si="23">AJ336-AK336-AL336-AM336-AN336</f>
        <v>0</v>
      </c>
      <c r="AP336" s="91"/>
      <c r="AQ336" s="217"/>
      <c r="AR336" s="196"/>
      <c r="AS336" s="265"/>
      <c r="AT336" s="94"/>
      <c r="AU336" s="84"/>
      <c r="AV336" s="136"/>
      <c r="AW336" s="81"/>
      <c r="AX336" s="137"/>
      <c r="AY336" s="138"/>
      <c r="AZ336" s="220">
        <f t="shared" si="20"/>
        <v>0</v>
      </c>
      <c r="BA336" s="220">
        <f t="shared" si="21"/>
        <v>0</v>
      </c>
    </row>
    <row r="337" spans="1:53" ht="50.1" customHeight="1" x14ac:dyDescent="0.25">
      <c r="A337" s="17">
        <f t="shared" si="22"/>
        <v>323</v>
      </c>
      <c r="B337" s="228"/>
      <c r="C337" s="221"/>
      <c r="D337" s="88"/>
      <c r="E337" s="100"/>
      <c r="F337" s="95"/>
      <c r="G337" s="114"/>
      <c r="H337" s="96"/>
      <c r="I337" s="97"/>
      <c r="J337" s="98"/>
      <c r="K337" s="101"/>
      <c r="L337" s="124"/>
      <c r="M337" s="333"/>
      <c r="N337" s="341"/>
      <c r="O337" s="190"/>
      <c r="P337" s="191"/>
      <c r="Q337" s="190"/>
      <c r="R337" s="191"/>
      <c r="S337" s="294"/>
      <c r="T337" s="300"/>
      <c r="U337" s="306"/>
      <c r="V337" s="308"/>
      <c r="W337" s="248"/>
      <c r="X337" s="342"/>
      <c r="Y337" s="337"/>
      <c r="Z337" s="123"/>
      <c r="AA337" s="83"/>
      <c r="AB337" s="123"/>
      <c r="AC337" s="83"/>
      <c r="AD337" s="123"/>
      <c r="AE337" s="83"/>
      <c r="AF337" s="123"/>
      <c r="AG337" s="243"/>
      <c r="AH337" s="33"/>
      <c r="AI337" s="245"/>
      <c r="AJ337" s="125"/>
      <c r="AK337" s="92"/>
      <c r="AL337" s="126"/>
      <c r="AM337" s="91"/>
      <c r="AN337" s="91"/>
      <c r="AO337" s="197">
        <f t="shared" si="23"/>
        <v>0</v>
      </c>
      <c r="AP337" s="126"/>
      <c r="AQ337" s="217"/>
      <c r="AR337" s="201"/>
      <c r="AS337" s="266"/>
      <c r="AT337" s="94"/>
      <c r="AU337" s="84"/>
      <c r="AV337" s="80"/>
      <c r="AW337" s="81"/>
      <c r="AX337" s="77"/>
      <c r="AY337" s="107"/>
      <c r="AZ337" s="220">
        <f t="shared" si="20"/>
        <v>0</v>
      </c>
      <c r="BA337" s="220">
        <f t="shared" si="21"/>
        <v>0</v>
      </c>
    </row>
    <row r="338" spans="1:53" ht="50.1" customHeight="1" x14ac:dyDescent="0.25">
      <c r="A338" s="17">
        <f t="shared" si="22"/>
        <v>324</v>
      </c>
      <c r="B338" s="229"/>
      <c r="C338" s="222"/>
      <c r="D338" s="112"/>
      <c r="E338" s="128"/>
      <c r="F338" s="183"/>
      <c r="G338" s="130"/>
      <c r="H338" s="131"/>
      <c r="I338" s="132"/>
      <c r="J338" s="189"/>
      <c r="K338" s="133"/>
      <c r="L338" s="134"/>
      <c r="M338" s="334"/>
      <c r="N338" s="343"/>
      <c r="O338" s="193"/>
      <c r="P338" s="191"/>
      <c r="Q338" s="193"/>
      <c r="R338" s="191"/>
      <c r="S338" s="296"/>
      <c r="T338" s="302"/>
      <c r="U338" s="306"/>
      <c r="V338" s="308"/>
      <c r="W338" s="249"/>
      <c r="X338" s="344"/>
      <c r="Y338" s="337"/>
      <c r="Z338" s="33"/>
      <c r="AA338" s="83"/>
      <c r="AB338" s="33"/>
      <c r="AC338" s="83"/>
      <c r="AD338" s="33"/>
      <c r="AE338" s="83"/>
      <c r="AF338" s="33"/>
      <c r="AG338" s="244"/>
      <c r="AH338" s="83"/>
      <c r="AI338" s="246"/>
      <c r="AJ338" s="102"/>
      <c r="AK338" s="92"/>
      <c r="AL338" s="91"/>
      <c r="AM338" s="92"/>
      <c r="AN338" s="351"/>
      <c r="AO338" s="197">
        <f t="shared" si="23"/>
        <v>0</v>
      </c>
      <c r="AP338" s="91"/>
      <c r="AQ338" s="217"/>
      <c r="AR338" s="196"/>
      <c r="AS338" s="265"/>
      <c r="AT338" s="94"/>
      <c r="AU338" s="84"/>
      <c r="AV338" s="136"/>
      <c r="AW338" s="81"/>
      <c r="AX338" s="137"/>
      <c r="AY338" s="138"/>
      <c r="AZ338" s="220">
        <f t="shared" si="20"/>
        <v>0</v>
      </c>
      <c r="BA338" s="220">
        <f t="shared" si="21"/>
        <v>0</v>
      </c>
    </row>
    <row r="339" spans="1:53" ht="50.1" customHeight="1" x14ac:dyDescent="0.25">
      <c r="A339" s="17">
        <f t="shared" si="22"/>
        <v>325</v>
      </c>
      <c r="B339" s="228"/>
      <c r="C339" s="221"/>
      <c r="D339" s="88"/>
      <c r="E339" s="100"/>
      <c r="F339" s="95"/>
      <c r="G339" s="114"/>
      <c r="H339" s="96"/>
      <c r="I339" s="97"/>
      <c r="J339" s="98"/>
      <c r="K339" s="101"/>
      <c r="L339" s="124"/>
      <c r="M339" s="333"/>
      <c r="N339" s="341"/>
      <c r="O339" s="190"/>
      <c r="P339" s="191"/>
      <c r="Q339" s="190"/>
      <c r="R339" s="191"/>
      <c r="S339" s="294"/>
      <c r="T339" s="300"/>
      <c r="U339" s="306"/>
      <c r="V339" s="308"/>
      <c r="W339" s="248"/>
      <c r="X339" s="342"/>
      <c r="Y339" s="337"/>
      <c r="Z339" s="123"/>
      <c r="AA339" s="83"/>
      <c r="AB339" s="123"/>
      <c r="AC339" s="83"/>
      <c r="AD339" s="123"/>
      <c r="AE339" s="83"/>
      <c r="AF339" s="123"/>
      <c r="AG339" s="243"/>
      <c r="AH339" s="33"/>
      <c r="AI339" s="245"/>
      <c r="AJ339" s="125"/>
      <c r="AK339" s="92"/>
      <c r="AL339" s="126"/>
      <c r="AM339" s="91"/>
      <c r="AN339" s="91"/>
      <c r="AO339" s="197">
        <f t="shared" si="23"/>
        <v>0</v>
      </c>
      <c r="AP339" s="126"/>
      <c r="AQ339" s="217"/>
      <c r="AR339" s="201"/>
      <c r="AS339" s="266"/>
      <c r="AT339" s="94"/>
      <c r="AU339" s="84"/>
      <c r="AV339" s="80"/>
      <c r="AW339" s="81"/>
      <c r="AX339" s="77"/>
      <c r="AY339" s="107"/>
      <c r="AZ339" s="220">
        <f t="shared" si="20"/>
        <v>0</v>
      </c>
      <c r="BA339" s="220">
        <f t="shared" si="21"/>
        <v>0</v>
      </c>
    </row>
    <row r="340" spans="1:53" ht="50.1" customHeight="1" x14ac:dyDescent="0.25">
      <c r="A340" s="17">
        <f t="shared" si="22"/>
        <v>326</v>
      </c>
      <c r="B340" s="229"/>
      <c r="C340" s="222"/>
      <c r="D340" s="112"/>
      <c r="E340" s="128"/>
      <c r="F340" s="183"/>
      <c r="G340" s="130"/>
      <c r="H340" s="131"/>
      <c r="I340" s="132"/>
      <c r="J340" s="189"/>
      <c r="K340" s="133"/>
      <c r="L340" s="134"/>
      <c r="M340" s="334"/>
      <c r="N340" s="343"/>
      <c r="O340" s="193"/>
      <c r="P340" s="191"/>
      <c r="Q340" s="193"/>
      <c r="R340" s="191"/>
      <c r="S340" s="296"/>
      <c r="T340" s="302"/>
      <c r="U340" s="306"/>
      <c r="V340" s="308"/>
      <c r="W340" s="285"/>
      <c r="X340" s="345"/>
      <c r="Y340" s="337"/>
      <c r="Z340" s="33"/>
      <c r="AA340" s="83"/>
      <c r="AB340" s="33"/>
      <c r="AC340" s="83"/>
      <c r="AD340" s="33"/>
      <c r="AE340" s="83"/>
      <c r="AF340" s="33"/>
      <c r="AG340" s="244"/>
      <c r="AH340" s="83"/>
      <c r="AI340" s="246"/>
      <c r="AJ340" s="102"/>
      <c r="AK340" s="92"/>
      <c r="AL340" s="91"/>
      <c r="AM340" s="92"/>
      <c r="AN340" s="351"/>
      <c r="AO340" s="197">
        <f t="shared" si="23"/>
        <v>0</v>
      </c>
      <c r="AP340" s="91"/>
      <c r="AQ340" s="217"/>
      <c r="AR340" s="196"/>
      <c r="AS340" s="265"/>
      <c r="AT340" s="94"/>
      <c r="AU340" s="84"/>
      <c r="AV340" s="136"/>
      <c r="AW340" s="81"/>
      <c r="AX340" s="137"/>
      <c r="AY340" s="138"/>
      <c r="AZ340" s="220">
        <f t="shared" si="20"/>
        <v>0</v>
      </c>
      <c r="BA340" s="220">
        <f t="shared" si="21"/>
        <v>0</v>
      </c>
    </row>
    <row r="341" spans="1:53" ht="50.1" customHeight="1" x14ac:dyDescent="0.25">
      <c r="A341" s="17">
        <f t="shared" si="22"/>
        <v>327</v>
      </c>
      <c r="B341" s="228"/>
      <c r="C341" s="221"/>
      <c r="D341" s="88"/>
      <c r="E341" s="100"/>
      <c r="F341" s="95"/>
      <c r="G341" s="114"/>
      <c r="H341" s="96"/>
      <c r="I341" s="97"/>
      <c r="J341" s="98"/>
      <c r="K341" s="101"/>
      <c r="L341" s="124"/>
      <c r="M341" s="333"/>
      <c r="N341" s="341"/>
      <c r="O341" s="190"/>
      <c r="P341" s="191"/>
      <c r="Q341" s="190"/>
      <c r="R341" s="191"/>
      <c r="S341" s="294"/>
      <c r="T341" s="300"/>
      <c r="U341" s="306"/>
      <c r="V341" s="308"/>
      <c r="W341" s="248"/>
      <c r="X341" s="342"/>
      <c r="Y341" s="337"/>
      <c r="Z341" s="123"/>
      <c r="AA341" s="83"/>
      <c r="AB341" s="123"/>
      <c r="AC341" s="83"/>
      <c r="AD341" s="123"/>
      <c r="AE341" s="83"/>
      <c r="AF341" s="123"/>
      <c r="AG341" s="243"/>
      <c r="AH341" s="33"/>
      <c r="AI341" s="245"/>
      <c r="AJ341" s="125"/>
      <c r="AK341" s="92"/>
      <c r="AL341" s="126"/>
      <c r="AM341" s="91"/>
      <c r="AN341" s="91"/>
      <c r="AO341" s="197">
        <f t="shared" si="23"/>
        <v>0</v>
      </c>
      <c r="AP341" s="126"/>
      <c r="AQ341" s="217"/>
      <c r="AR341" s="201"/>
      <c r="AS341" s="266"/>
      <c r="AT341" s="94"/>
      <c r="AU341" s="84"/>
      <c r="AV341" s="80"/>
      <c r="AW341" s="81"/>
      <c r="AX341" s="77"/>
      <c r="AY341" s="107"/>
      <c r="AZ341" s="220">
        <f t="shared" si="20"/>
        <v>0</v>
      </c>
      <c r="BA341" s="220">
        <f t="shared" si="21"/>
        <v>0</v>
      </c>
    </row>
    <row r="342" spans="1:53" ht="50.1" customHeight="1" x14ac:dyDescent="0.25">
      <c r="A342" s="17">
        <f t="shared" si="22"/>
        <v>328</v>
      </c>
      <c r="B342" s="229"/>
      <c r="C342" s="222"/>
      <c r="D342" s="112"/>
      <c r="E342" s="128"/>
      <c r="F342" s="183"/>
      <c r="G342" s="130"/>
      <c r="H342" s="131"/>
      <c r="I342" s="132"/>
      <c r="J342" s="189"/>
      <c r="K342" s="133"/>
      <c r="L342" s="134"/>
      <c r="M342" s="334"/>
      <c r="N342" s="343"/>
      <c r="O342" s="193"/>
      <c r="P342" s="191"/>
      <c r="Q342" s="193"/>
      <c r="R342" s="191"/>
      <c r="S342" s="296"/>
      <c r="T342" s="302"/>
      <c r="U342" s="306"/>
      <c r="V342" s="308"/>
      <c r="W342" s="249"/>
      <c r="X342" s="344"/>
      <c r="Y342" s="337"/>
      <c r="Z342" s="33"/>
      <c r="AA342" s="83"/>
      <c r="AB342" s="33"/>
      <c r="AC342" s="83"/>
      <c r="AD342" s="33"/>
      <c r="AE342" s="83"/>
      <c r="AF342" s="33"/>
      <c r="AG342" s="244"/>
      <c r="AH342" s="83"/>
      <c r="AI342" s="246"/>
      <c r="AJ342" s="102"/>
      <c r="AK342" s="92"/>
      <c r="AL342" s="91"/>
      <c r="AM342" s="92"/>
      <c r="AN342" s="351"/>
      <c r="AO342" s="197">
        <f t="shared" si="23"/>
        <v>0</v>
      </c>
      <c r="AP342" s="91"/>
      <c r="AQ342" s="217"/>
      <c r="AR342" s="196"/>
      <c r="AS342" s="265"/>
      <c r="AT342" s="94"/>
      <c r="AU342" s="84"/>
      <c r="AV342" s="136"/>
      <c r="AW342" s="81"/>
      <c r="AX342" s="137"/>
      <c r="AY342" s="138"/>
      <c r="AZ342" s="220">
        <f t="shared" si="20"/>
        <v>0</v>
      </c>
      <c r="BA342" s="220">
        <f t="shared" si="21"/>
        <v>0</v>
      </c>
    </row>
    <row r="343" spans="1:53" ht="50.1" customHeight="1" x14ac:dyDescent="0.25">
      <c r="A343" s="17">
        <f t="shared" si="22"/>
        <v>329</v>
      </c>
      <c r="B343" s="228"/>
      <c r="C343" s="221"/>
      <c r="D343" s="88"/>
      <c r="E343" s="100"/>
      <c r="F343" s="95"/>
      <c r="G343" s="114"/>
      <c r="H343" s="96"/>
      <c r="I343" s="97"/>
      <c r="J343" s="98"/>
      <c r="K343" s="101"/>
      <c r="L343" s="124"/>
      <c r="M343" s="333"/>
      <c r="N343" s="341"/>
      <c r="O343" s="190"/>
      <c r="P343" s="191"/>
      <c r="Q343" s="190"/>
      <c r="R343" s="191"/>
      <c r="S343" s="294"/>
      <c r="T343" s="300"/>
      <c r="U343" s="306"/>
      <c r="V343" s="308"/>
      <c r="W343" s="248"/>
      <c r="X343" s="342"/>
      <c r="Y343" s="337"/>
      <c r="Z343" s="123"/>
      <c r="AA343" s="83"/>
      <c r="AB343" s="123"/>
      <c r="AC343" s="83"/>
      <c r="AD343" s="123"/>
      <c r="AE343" s="83"/>
      <c r="AF343" s="123"/>
      <c r="AG343" s="243"/>
      <c r="AH343" s="33"/>
      <c r="AI343" s="245"/>
      <c r="AJ343" s="125"/>
      <c r="AK343" s="92"/>
      <c r="AL343" s="126"/>
      <c r="AM343" s="91"/>
      <c r="AN343" s="91"/>
      <c r="AO343" s="197">
        <f t="shared" si="23"/>
        <v>0</v>
      </c>
      <c r="AP343" s="126"/>
      <c r="AQ343" s="217"/>
      <c r="AR343" s="201"/>
      <c r="AS343" s="266"/>
      <c r="AT343" s="94"/>
      <c r="AU343" s="84"/>
      <c r="AV343" s="80"/>
      <c r="AW343" s="81"/>
      <c r="AX343" s="77"/>
      <c r="AY343" s="107"/>
      <c r="AZ343" s="220">
        <f t="shared" si="20"/>
        <v>0</v>
      </c>
      <c r="BA343" s="220">
        <f t="shared" si="21"/>
        <v>0</v>
      </c>
    </row>
    <row r="344" spans="1:53" ht="50.1" customHeight="1" x14ac:dyDescent="0.25">
      <c r="A344" s="17">
        <f t="shared" si="22"/>
        <v>330</v>
      </c>
      <c r="B344" s="229"/>
      <c r="C344" s="222"/>
      <c r="D344" s="112"/>
      <c r="E344" s="128"/>
      <c r="F344" s="183"/>
      <c r="G344" s="130"/>
      <c r="H344" s="131"/>
      <c r="I344" s="132"/>
      <c r="J344" s="189"/>
      <c r="K344" s="133"/>
      <c r="L344" s="134"/>
      <c r="M344" s="334"/>
      <c r="N344" s="343"/>
      <c r="O344" s="193"/>
      <c r="P344" s="191"/>
      <c r="Q344" s="193"/>
      <c r="R344" s="191"/>
      <c r="S344" s="296"/>
      <c r="T344" s="302"/>
      <c r="U344" s="306"/>
      <c r="V344" s="308"/>
      <c r="W344" s="249"/>
      <c r="X344" s="344"/>
      <c r="Y344" s="337"/>
      <c r="Z344" s="33"/>
      <c r="AA344" s="83"/>
      <c r="AB344" s="33"/>
      <c r="AC344" s="83"/>
      <c r="AD344" s="33"/>
      <c r="AE344" s="83"/>
      <c r="AF344" s="33"/>
      <c r="AG344" s="244"/>
      <c r="AH344" s="83"/>
      <c r="AI344" s="246"/>
      <c r="AJ344" s="102"/>
      <c r="AK344" s="92"/>
      <c r="AL344" s="91"/>
      <c r="AM344" s="92"/>
      <c r="AN344" s="351"/>
      <c r="AO344" s="197">
        <f t="shared" si="23"/>
        <v>0</v>
      </c>
      <c r="AP344" s="91"/>
      <c r="AQ344" s="217"/>
      <c r="AR344" s="196"/>
      <c r="AS344" s="265"/>
      <c r="AT344" s="94"/>
      <c r="AU344" s="84"/>
      <c r="AV344" s="136"/>
      <c r="AW344" s="81"/>
      <c r="AX344" s="137"/>
      <c r="AY344" s="138"/>
      <c r="AZ344" s="220">
        <f t="shared" si="20"/>
        <v>0</v>
      </c>
      <c r="BA344" s="220">
        <f t="shared" si="21"/>
        <v>0</v>
      </c>
    </row>
    <row r="345" spans="1:53" ht="50.1" customHeight="1" x14ac:dyDescent="0.25">
      <c r="A345" s="17">
        <f t="shared" si="22"/>
        <v>331</v>
      </c>
      <c r="B345" s="228"/>
      <c r="C345" s="221"/>
      <c r="D345" s="88"/>
      <c r="E345" s="100"/>
      <c r="F345" s="95"/>
      <c r="G345" s="114"/>
      <c r="H345" s="96"/>
      <c r="I345" s="97"/>
      <c r="J345" s="98"/>
      <c r="K345" s="101"/>
      <c r="L345" s="124"/>
      <c r="M345" s="333"/>
      <c r="N345" s="341"/>
      <c r="O345" s="190"/>
      <c r="P345" s="191"/>
      <c r="Q345" s="190"/>
      <c r="R345" s="191"/>
      <c r="S345" s="294"/>
      <c r="T345" s="300"/>
      <c r="U345" s="306"/>
      <c r="V345" s="308"/>
      <c r="W345" s="248"/>
      <c r="X345" s="342"/>
      <c r="Y345" s="337"/>
      <c r="Z345" s="123"/>
      <c r="AA345" s="83"/>
      <c r="AB345" s="123"/>
      <c r="AC345" s="83"/>
      <c r="AD345" s="123"/>
      <c r="AE345" s="83"/>
      <c r="AF345" s="123"/>
      <c r="AG345" s="243"/>
      <c r="AH345" s="33"/>
      <c r="AI345" s="245"/>
      <c r="AJ345" s="125"/>
      <c r="AK345" s="92"/>
      <c r="AL345" s="126"/>
      <c r="AM345" s="91"/>
      <c r="AN345" s="91"/>
      <c r="AO345" s="197">
        <f t="shared" si="23"/>
        <v>0</v>
      </c>
      <c r="AP345" s="126"/>
      <c r="AQ345" s="217"/>
      <c r="AR345" s="201"/>
      <c r="AS345" s="266"/>
      <c r="AT345" s="94"/>
      <c r="AU345" s="84"/>
      <c r="AV345" s="80"/>
      <c r="AW345" s="81"/>
      <c r="AX345" s="77"/>
      <c r="AY345" s="107"/>
      <c r="AZ345" s="220">
        <f t="shared" si="20"/>
        <v>0</v>
      </c>
      <c r="BA345" s="220">
        <f t="shared" si="21"/>
        <v>0</v>
      </c>
    </row>
    <row r="346" spans="1:53" ht="50.1" customHeight="1" x14ac:dyDescent="0.25">
      <c r="A346" s="17">
        <f t="shared" si="22"/>
        <v>332</v>
      </c>
      <c r="B346" s="229"/>
      <c r="C346" s="222"/>
      <c r="D346" s="112"/>
      <c r="E346" s="128"/>
      <c r="F346" s="183"/>
      <c r="G346" s="130"/>
      <c r="H346" s="131"/>
      <c r="I346" s="132"/>
      <c r="J346" s="189"/>
      <c r="K346" s="133"/>
      <c r="L346" s="134"/>
      <c r="M346" s="334"/>
      <c r="N346" s="343"/>
      <c r="O346" s="193"/>
      <c r="P346" s="191"/>
      <c r="Q346" s="193"/>
      <c r="R346" s="191"/>
      <c r="S346" s="296"/>
      <c r="T346" s="302"/>
      <c r="U346" s="306"/>
      <c r="V346" s="308"/>
      <c r="W346" s="249"/>
      <c r="X346" s="344"/>
      <c r="Y346" s="337"/>
      <c r="Z346" s="33"/>
      <c r="AA346" s="83"/>
      <c r="AB346" s="33"/>
      <c r="AC346" s="83"/>
      <c r="AD346" s="33"/>
      <c r="AE346" s="83"/>
      <c r="AF346" s="33"/>
      <c r="AG346" s="244"/>
      <c r="AH346" s="83"/>
      <c r="AI346" s="246"/>
      <c r="AJ346" s="102"/>
      <c r="AK346" s="92"/>
      <c r="AL346" s="91"/>
      <c r="AM346" s="92"/>
      <c r="AN346" s="351"/>
      <c r="AO346" s="197">
        <f t="shared" si="23"/>
        <v>0</v>
      </c>
      <c r="AP346" s="91"/>
      <c r="AQ346" s="217"/>
      <c r="AR346" s="196"/>
      <c r="AS346" s="265"/>
      <c r="AT346" s="94"/>
      <c r="AU346" s="84"/>
      <c r="AV346" s="136"/>
      <c r="AW346" s="81"/>
      <c r="AX346" s="137"/>
      <c r="AY346" s="138"/>
      <c r="AZ346" s="220">
        <f t="shared" si="20"/>
        <v>0</v>
      </c>
      <c r="BA346" s="220">
        <f t="shared" si="21"/>
        <v>0</v>
      </c>
    </row>
    <row r="347" spans="1:53" ht="50.1" customHeight="1" x14ac:dyDescent="0.25">
      <c r="A347" s="17">
        <f t="shared" si="22"/>
        <v>333</v>
      </c>
      <c r="B347" s="228"/>
      <c r="C347" s="221"/>
      <c r="D347" s="88"/>
      <c r="E347" s="100"/>
      <c r="F347" s="95"/>
      <c r="G347" s="114"/>
      <c r="H347" s="96"/>
      <c r="I347" s="97"/>
      <c r="J347" s="98"/>
      <c r="K347" s="101"/>
      <c r="L347" s="124"/>
      <c r="M347" s="333"/>
      <c r="N347" s="341"/>
      <c r="O347" s="190"/>
      <c r="P347" s="191"/>
      <c r="Q347" s="190"/>
      <c r="R347" s="191"/>
      <c r="S347" s="294"/>
      <c r="T347" s="300"/>
      <c r="U347" s="306"/>
      <c r="V347" s="308"/>
      <c r="W347" s="248"/>
      <c r="X347" s="342"/>
      <c r="Y347" s="337"/>
      <c r="Z347" s="123"/>
      <c r="AA347" s="83"/>
      <c r="AB347" s="123"/>
      <c r="AC347" s="83"/>
      <c r="AD347" s="123"/>
      <c r="AE347" s="83"/>
      <c r="AF347" s="123"/>
      <c r="AG347" s="243"/>
      <c r="AH347" s="33"/>
      <c r="AI347" s="245"/>
      <c r="AJ347" s="125"/>
      <c r="AK347" s="92"/>
      <c r="AL347" s="126"/>
      <c r="AM347" s="91"/>
      <c r="AN347" s="91"/>
      <c r="AO347" s="197">
        <f t="shared" si="23"/>
        <v>0</v>
      </c>
      <c r="AP347" s="126"/>
      <c r="AQ347" s="217"/>
      <c r="AR347" s="201"/>
      <c r="AS347" s="266"/>
      <c r="AT347" s="94"/>
      <c r="AU347" s="84"/>
      <c r="AV347" s="80"/>
      <c r="AW347" s="81"/>
      <c r="AX347" s="77"/>
      <c r="AY347" s="107"/>
      <c r="AZ347" s="220">
        <f t="shared" si="20"/>
        <v>0</v>
      </c>
      <c r="BA347" s="220">
        <f t="shared" si="21"/>
        <v>0</v>
      </c>
    </row>
    <row r="348" spans="1:53" ht="50.1" customHeight="1" x14ac:dyDescent="0.25">
      <c r="A348" s="17">
        <f t="shared" si="22"/>
        <v>334</v>
      </c>
      <c r="B348" s="229"/>
      <c r="C348" s="222"/>
      <c r="D348" s="112"/>
      <c r="E348" s="128"/>
      <c r="F348" s="183"/>
      <c r="G348" s="130"/>
      <c r="H348" s="131"/>
      <c r="I348" s="132"/>
      <c r="J348" s="189"/>
      <c r="K348" s="133"/>
      <c r="L348" s="134"/>
      <c r="M348" s="334"/>
      <c r="N348" s="343"/>
      <c r="O348" s="193"/>
      <c r="P348" s="191"/>
      <c r="Q348" s="193"/>
      <c r="R348" s="191"/>
      <c r="S348" s="296"/>
      <c r="T348" s="302"/>
      <c r="U348" s="306"/>
      <c r="V348" s="308"/>
      <c r="W348" s="249"/>
      <c r="X348" s="344"/>
      <c r="Y348" s="337"/>
      <c r="Z348" s="33"/>
      <c r="AA348" s="83"/>
      <c r="AB348" s="33"/>
      <c r="AC348" s="83"/>
      <c r="AD348" s="33"/>
      <c r="AE348" s="83"/>
      <c r="AF348" s="33"/>
      <c r="AG348" s="244"/>
      <c r="AH348" s="83"/>
      <c r="AI348" s="246"/>
      <c r="AJ348" s="102"/>
      <c r="AK348" s="92"/>
      <c r="AL348" s="91"/>
      <c r="AM348" s="92"/>
      <c r="AN348" s="351"/>
      <c r="AO348" s="197">
        <f t="shared" si="23"/>
        <v>0</v>
      </c>
      <c r="AP348" s="91"/>
      <c r="AQ348" s="217"/>
      <c r="AR348" s="196"/>
      <c r="AS348" s="265"/>
      <c r="AT348" s="94"/>
      <c r="AU348" s="84"/>
      <c r="AV348" s="136"/>
      <c r="AW348" s="81"/>
      <c r="AX348" s="137"/>
      <c r="AY348" s="138"/>
      <c r="AZ348" s="220">
        <f t="shared" si="20"/>
        <v>0</v>
      </c>
      <c r="BA348" s="220">
        <f t="shared" si="21"/>
        <v>0</v>
      </c>
    </row>
    <row r="349" spans="1:53" ht="50.1" customHeight="1" x14ac:dyDescent="0.25">
      <c r="A349" s="17">
        <f t="shared" si="22"/>
        <v>335</v>
      </c>
      <c r="B349" s="228"/>
      <c r="C349" s="221"/>
      <c r="D349" s="88"/>
      <c r="E349" s="100"/>
      <c r="F349" s="95"/>
      <c r="G349" s="114"/>
      <c r="H349" s="96"/>
      <c r="I349" s="97"/>
      <c r="J349" s="98"/>
      <c r="K349" s="101"/>
      <c r="L349" s="124"/>
      <c r="M349" s="333"/>
      <c r="N349" s="341"/>
      <c r="O349" s="190"/>
      <c r="P349" s="191"/>
      <c r="Q349" s="190"/>
      <c r="R349" s="191"/>
      <c r="S349" s="294"/>
      <c r="T349" s="300"/>
      <c r="U349" s="306"/>
      <c r="V349" s="308"/>
      <c r="W349" s="248"/>
      <c r="X349" s="342"/>
      <c r="Y349" s="337"/>
      <c r="Z349" s="123"/>
      <c r="AA349" s="83"/>
      <c r="AB349" s="123"/>
      <c r="AC349" s="83"/>
      <c r="AD349" s="123"/>
      <c r="AE349" s="83"/>
      <c r="AF349" s="123"/>
      <c r="AG349" s="243"/>
      <c r="AH349" s="33"/>
      <c r="AI349" s="245"/>
      <c r="AJ349" s="125"/>
      <c r="AK349" s="92"/>
      <c r="AL349" s="126"/>
      <c r="AM349" s="91"/>
      <c r="AN349" s="91"/>
      <c r="AO349" s="197">
        <f t="shared" si="23"/>
        <v>0</v>
      </c>
      <c r="AP349" s="126"/>
      <c r="AQ349" s="217"/>
      <c r="AR349" s="201"/>
      <c r="AS349" s="266"/>
      <c r="AT349" s="94"/>
      <c r="AU349" s="84"/>
      <c r="AV349" s="80"/>
      <c r="AW349" s="81"/>
      <c r="AX349" s="77"/>
      <c r="AY349" s="107"/>
      <c r="AZ349" s="220">
        <f t="shared" si="20"/>
        <v>0</v>
      </c>
      <c r="BA349" s="220">
        <f t="shared" si="21"/>
        <v>0</v>
      </c>
    </row>
    <row r="350" spans="1:53" ht="50.1" customHeight="1" x14ac:dyDescent="0.25">
      <c r="A350" s="17">
        <f t="shared" si="22"/>
        <v>336</v>
      </c>
      <c r="B350" s="229"/>
      <c r="C350" s="222"/>
      <c r="D350" s="112"/>
      <c r="E350" s="128"/>
      <c r="F350" s="183"/>
      <c r="G350" s="130"/>
      <c r="H350" s="131"/>
      <c r="I350" s="132"/>
      <c r="J350" s="189"/>
      <c r="K350" s="133"/>
      <c r="L350" s="134"/>
      <c r="M350" s="334"/>
      <c r="N350" s="343"/>
      <c r="O350" s="193"/>
      <c r="P350" s="191"/>
      <c r="Q350" s="193"/>
      <c r="R350" s="191"/>
      <c r="S350" s="296"/>
      <c r="T350" s="302"/>
      <c r="U350" s="306"/>
      <c r="V350" s="308"/>
      <c r="W350" s="249"/>
      <c r="X350" s="344"/>
      <c r="Y350" s="337"/>
      <c r="Z350" s="33"/>
      <c r="AA350" s="83"/>
      <c r="AB350" s="33"/>
      <c r="AC350" s="83"/>
      <c r="AD350" s="33"/>
      <c r="AE350" s="83"/>
      <c r="AF350" s="33"/>
      <c r="AG350" s="244"/>
      <c r="AH350" s="83"/>
      <c r="AI350" s="246"/>
      <c r="AJ350" s="195"/>
      <c r="AK350" s="92"/>
      <c r="AL350" s="91"/>
      <c r="AM350" s="92"/>
      <c r="AN350" s="351"/>
      <c r="AO350" s="197">
        <f t="shared" si="23"/>
        <v>0</v>
      </c>
      <c r="AP350" s="91"/>
      <c r="AQ350" s="217"/>
      <c r="AR350" s="196"/>
      <c r="AS350" s="265"/>
      <c r="AT350" s="94"/>
      <c r="AU350" s="84"/>
      <c r="AV350" s="136"/>
      <c r="AW350" s="81"/>
      <c r="AX350" s="137"/>
      <c r="AY350" s="138"/>
      <c r="AZ350" s="220">
        <f t="shared" si="20"/>
        <v>0</v>
      </c>
      <c r="BA350" s="220">
        <f t="shared" si="21"/>
        <v>0</v>
      </c>
    </row>
    <row r="351" spans="1:53" ht="50.1" customHeight="1" x14ac:dyDescent="0.25">
      <c r="A351" s="17">
        <f t="shared" si="22"/>
        <v>337</v>
      </c>
      <c r="B351" s="228"/>
      <c r="C351" s="221"/>
      <c r="D351" s="88"/>
      <c r="E351" s="100"/>
      <c r="F351" s="95"/>
      <c r="G351" s="114"/>
      <c r="H351" s="96"/>
      <c r="I351" s="97"/>
      <c r="J351" s="98"/>
      <c r="K351" s="101"/>
      <c r="L351" s="124"/>
      <c r="M351" s="333"/>
      <c r="N351" s="341"/>
      <c r="O351" s="190"/>
      <c r="P351" s="191"/>
      <c r="Q351" s="190"/>
      <c r="R351" s="191"/>
      <c r="S351" s="294"/>
      <c r="T351" s="300"/>
      <c r="U351" s="306"/>
      <c r="V351" s="308"/>
      <c r="W351" s="248"/>
      <c r="X351" s="342"/>
      <c r="Y351" s="337"/>
      <c r="Z351" s="123"/>
      <c r="AA351" s="83"/>
      <c r="AB351" s="123"/>
      <c r="AC351" s="83"/>
      <c r="AD351" s="123"/>
      <c r="AE351" s="83"/>
      <c r="AF351" s="123"/>
      <c r="AG351" s="243"/>
      <c r="AH351" s="33"/>
      <c r="AI351" s="245"/>
      <c r="AJ351" s="198"/>
      <c r="AK351" s="92"/>
      <c r="AL351" s="126"/>
      <c r="AM351" s="91"/>
      <c r="AN351" s="91"/>
      <c r="AO351" s="197">
        <f t="shared" si="23"/>
        <v>0</v>
      </c>
      <c r="AP351" s="126"/>
      <c r="AQ351" s="217"/>
      <c r="AR351" s="201"/>
      <c r="AS351" s="266"/>
      <c r="AT351" s="94"/>
      <c r="AU351" s="84"/>
      <c r="AV351" s="80"/>
      <c r="AW351" s="81"/>
      <c r="AX351" s="77"/>
      <c r="AY351" s="107"/>
      <c r="AZ351" s="220">
        <f t="shared" si="20"/>
        <v>0</v>
      </c>
      <c r="BA351" s="220">
        <f t="shared" si="21"/>
        <v>0</v>
      </c>
    </row>
    <row r="352" spans="1:53" ht="50.1" customHeight="1" x14ac:dyDescent="0.25">
      <c r="A352" s="17">
        <f t="shared" si="22"/>
        <v>338</v>
      </c>
      <c r="B352" s="229"/>
      <c r="C352" s="222"/>
      <c r="D352" s="112"/>
      <c r="E352" s="128"/>
      <c r="F352" s="183"/>
      <c r="G352" s="130"/>
      <c r="H352" s="131"/>
      <c r="I352" s="132"/>
      <c r="J352" s="189"/>
      <c r="K352" s="133"/>
      <c r="L352" s="134"/>
      <c r="M352" s="334"/>
      <c r="N352" s="343"/>
      <c r="O352" s="193"/>
      <c r="P352" s="191"/>
      <c r="Q352" s="193"/>
      <c r="R352" s="191"/>
      <c r="S352" s="296"/>
      <c r="T352" s="302"/>
      <c r="U352" s="306"/>
      <c r="V352" s="308"/>
      <c r="W352" s="249"/>
      <c r="X352" s="344"/>
      <c r="Y352" s="337"/>
      <c r="Z352" s="33"/>
      <c r="AA352" s="83"/>
      <c r="AB352" s="33"/>
      <c r="AC352" s="83"/>
      <c r="AD352" s="33"/>
      <c r="AE352" s="83"/>
      <c r="AF352" s="33"/>
      <c r="AG352" s="244"/>
      <c r="AH352" s="83"/>
      <c r="AI352" s="246"/>
      <c r="AJ352" s="195"/>
      <c r="AK352" s="92"/>
      <c r="AL352" s="91"/>
      <c r="AM352" s="92"/>
      <c r="AN352" s="351"/>
      <c r="AO352" s="197">
        <f t="shared" si="23"/>
        <v>0</v>
      </c>
      <c r="AP352" s="91"/>
      <c r="AQ352" s="217"/>
      <c r="AR352" s="196"/>
      <c r="AS352" s="265"/>
      <c r="AT352" s="94"/>
      <c r="AU352" s="84"/>
      <c r="AV352" s="136"/>
      <c r="AW352" s="81"/>
      <c r="AX352" s="137"/>
      <c r="AY352" s="138"/>
      <c r="AZ352" s="220">
        <f t="shared" si="20"/>
        <v>0</v>
      </c>
      <c r="BA352" s="220">
        <f t="shared" si="21"/>
        <v>0</v>
      </c>
    </row>
    <row r="353" spans="1:53" ht="50.1" customHeight="1" x14ac:dyDescent="0.25">
      <c r="A353" s="17">
        <f t="shared" si="22"/>
        <v>339</v>
      </c>
      <c r="B353" s="228"/>
      <c r="C353" s="221"/>
      <c r="D353" s="88"/>
      <c r="E353" s="100"/>
      <c r="F353" s="95"/>
      <c r="G353" s="114"/>
      <c r="H353" s="96"/>
      <c r="I353" s="97"/>
      <c r="J353" s="98"/>
      <c r="K353" s="101"/>
      <c r="L353" s="124"/>
      <c r="M353" s="333"/>
      <c r="N353" s="341"/>
      <c r="O353" s="190"/>
      <c r="P353" s="191"/>
      <c r="Q353" s="190"/>
      <c r="R353" s="191"/>
      <c r="S353" s="294"/>
      <c r="T353" s="300"/>
      <c r="U353" s="306"/>
      <c r="V353" s="308"/>
      <c r="W353" s="248"/>
      <c r="X353" s="342"/>
      <c r="Y353" s="337"/>
      <c r="Z353" s="123"/>
      <c r="AA353" s="83"/>
      <c r="AB353" s="123"/>
      <c r="AC353" s="83"/>
      <c r="AD353" s="123"/>
      <c r="AE353" s="83"/>
      <c r="AF353" s="123"/>
      <c r="AG353" s="243"/>
      <c r="AH353" s="33"/>
      <c r="AI353" s="245"/>
      <c r="AJ353" s="125"/>
      <c r="AK353" s="92"/>
      <c r="AL353" s="126"/>
      <c r="AM353" s="91"/>
      <c r="AN353" s="91"/>
      <c r="AO353" s="197">
        <f t="shared" si="23"/>
        <v>0</v>
      </c>
      <c r="AP353" s="126"/>
      <c r="AQ353" s="217"/>
      <c r="AR353" s="201"/>
      <c r="AS353" s="266"/>
      <c r="AT353" s="94"/>
      <c r="AU353" s="84"/>
      <c r="AV353" s="80"/>
      <c r="AW353" s="81"/>
      <c r="AX353" s="77"/>
      <c r="AY353" s="107"/>
      <c r="AZ353" s="220">
        <f t="shared" si="20"/>
        <v>0</v>
      </c>
      <c r="BA353" s="220">
        <f t="shared" si="21"/>
        <v>0</v>
      </c>
    </row>
    <row r="354" spans="1:53" ht="50.1" customHeight="1" x14ac:dyDescent="0.25">
      <c r="A354" s="17">
        <f t="shared" si="22"/>
        <v>340</v>
      </c>
      <c r="B354" s="229"/>
      <c r="C354" s="222"/>
      <c r="D354" s="112"/>
      <c r="E354" s="128"/>
      <c r="F354" s="183"/>
      <c r="G354" s="130"/>
      <c r="H354" s="131"/>
      <c r="I354" s="132"/>
      <c r="J354" s="189"/>
      <c r="K354" s="133"/>
      <c r="L354" s="134"/>
      <c r="M354" s="334"/>
      <c r="N354" s="343"/>
      <c r="O354" s="193"/>
      <c r="P354" s="191"/>
      <c r="Q354" s="193"/>
      <c r="R354" s="191"/>
      <c r="S354" s="296"/>
      <c r="T354" s="302"/>
      <c r="U354" s="306"/>
      <c r="V354" s="308"/>
      <c r="W354" s="249"/>
      <c r="X354" s="344"/>
      <c r="Y354" s="337"/>
      <c r="Z354" s="33"/>
      <c r="AA354" s="83"/>
      <c r="AB354" s="33"/>
      <c r="AC354" s="83"/>
      <c r="AD354" s="33"/>
      <c r="AE354" s="83"/>
      <c r="AF354" s="33"/>
      <c r="AG354" s="244"/>
      <c r="AH354" s="83"/>
      <c r="AI354" s="246"/>
      <c r="AJ354" s="102"/>
      <c r="AK354" s="92"/>
      <c r="AL354" s="91"/>
      <c r="AM354" s="92"/>
      <c r="AN354" s="351"/>
      <c r="AO354" s="197">
        <f t="shared" si="23"/>
        <v>0</v>
      </c>
      <c r="AP354" s="91"/>
      <c r="AQ354" s="217"/>
      <c r="AR354" s="196"/>
      <c r="AS354" s="265"/>
      <c r="AT354" s="94"/>
      <c r="AU354" s="84"/>
      <c r="AV354" s="136"/>
      <c r="AW354" s="81"/>
      <c r="AX354" s="137"/>
      <c r="AY354" s="138"/>
      <c r="AZ354" s="220">
        <f t="shared" si="20"/>
        <v>0</v>
      </c>
      <c r="BA354" s="220">
        <f t="shared" si="21"/>
        <v>0</v>
      </c>
    </row>
    <row r="355" spans="1:53" ht="50.1" customHeight="1" x14ac:dyDescent="0.25">
      <c r="A355" s="17">
        <f t="shared" si="22"/>
        <v>341</v>
      </c>
      <c r="B355" s="228"/>
      <c r="C355" s="221"/>
      <c r="D355" s="88"/>
      <c r="E355" s="100"/>
      <c r="F355" s="95"/>
      <c r="G355" s="114"/>
      <c r="H355" s="96"/>
      <c r="I355" s="97"/>
      <c r="J355" s="98"/>
      <c r="K355" s="101"/>
      <c r="L355" s="124"/>
      <c r="M355" s="333"/>
      <c r="N355" s="341"/>
      <c r="O355" s="190"/>
      <c r="P355" s="191"/>
      <c r="Q355" s="190"/>
      <c r="R355" s="191"/>
      <c r="S355" s="294"/>
      <c r="T355" s="300"/>
      <c r="U355" s="306"/>
      <c r="V355" s="308"/>
      <c r="W355" s="248"/>
      <c r="X355" s="342"/>
      <c r="Y355" s="337"/>
      <c r="Z355" s="123"/>
      <c r="AA355" s="83"/>
      <c r="AB355" s="123"/>
      <c r="AC355" s="83"/>
      <c r="AD355" s="123"/>
      <c r="AE355" s="83"/>
      <c r="AF355" s="123"/>
      <c r="AG355" s="243"/>
      <c r="AH355" s="33"/>
      <c r="AI355" s="245"/>
      <c r="AJ355" s="125"/>
      <c r="AK355" s="92"/>
      <c r="AL355" s="126"/>
      <c r="AM355" s="91"/>
      <c r="AN355" s="91"/>
      <c r="AO355" s="197">
        <f t="shared" si="23"/>
        <v>0</v>
      </c>
      <c r="AP355" s="126"/>
      <c r="AQ355" s="217"/>
      <c r="AR355" s="201"/>
      <c r="AS355" s="266"/>
      <c r="AT355" s="94"/>
      <c r="AU355" s="84"/>
      <c r="AV355" s="80"/>
      <c r="AW355" s="81"/>
      <c r="AX355" s="77"/>
      <c r="AY355" s="107"/>
      <c r="AZ355" s="220">
        <f t="shared" si="20"/>
        <v>0</v>
      </c>
      <c r="BA355" s="220">
        <f t="shared" si="21"/>
        <v>0</v>
      </c>
    </row>
    <row r="356" spans="1:53" ht="50.1" customHeight="1" x14ac:dyDescent="0.25">
      <c r="A356" s="17">
        <f t="shared" si="22"/>
        <v>342</v>
      </c>
      <c r="B356" s="229"/>
      <c r="C356" s="222"/>
      <c r="D356" s="112"/>
      <c r="E356" s="128"/>
      <c r="F356" s="183"/>
      <c r="G356" s="130"/>
      <c r="H356" s="131"/>
      <c r="I356" s="132"/>
      <c r="J356" s="189"/>
      <c r="K356" s="133"/>
      <c r="L356" s="134"/>
      <c r="M356" s="334"/>
      <c r="N356" s="343"/>
      <c r="O356" s="193"/>
      <c r="P356" s="191"/>
      <c r="Q356" s="193"/>
      <c r="R356" s="191"/>
      <c r="S356" s="296"/>
      <c r="T356" s="302"/>
      <c r="U356" s="306"/>
      <c r="V356" s="308"/>
      <c r="W356" s="249"/>
      <c r="X356" s="344"/>
      <c r="Y356" s="337"/>
      <c r="Z356" s="33"/>
      <c r="AA356" s="83"/>
      <c r="AB356" s="33"/>
      <c r="AC356" s="83"/>
      <c r="AD356" s="33"/>
      <c r="AE356" s="83"/>
      <c r="AF356" s="33"/>
      <c r="AG356" s="244"/>
      <c r="AH356" s="83"/>
      <c r="AI356" s="246"/>
      <c r="AJ356" s="102"/>
      <c r="AK356" s="92"/>
      <c r="AL356" s="91"/>
      <c r="AM356" s="92"/>
      <c r="AN356" s="351"/>
      <c r="AO356" s="197">
        <f t="shared" si="23"/>
        <v>0</v>
      </c>
      <c r="AP356" s="91"/>
      <c r="AQ356" s="217"/>
      <c r="AR356" s="83"/>
      <c r="AS356" s="267"/>
      <c r="AT356" s="94"/>
      <c r="AU356" s="84"/>
      <c r="AV356" s="136"/>
      <c r="AW356" s="81"/>
      <c r="AX356" s="137"/>
      <c r="AY356" s="138"/>
      <c r="AZ356" s="220">
        <f t="shared" si="20"/>
        <v>0</v>
      </c>
      <c r="BA356" s="220">
        <f t="shared" si="21"/>
        <v>0</v>
      </c>
    </row>
    <row r="357" spans="1:53" ht="50.1" customHeight="1" x14ac:dyDescent="0.25">
      <c r="A357" s="17">
        <f t="shared" si="22"/>
        <v>343</v>
      </c>
      <c r="B357" s="228"/>
      <c r="C357" s="221"/>
      <c r="D357" s="88"/>
      <c r="E357" s="100"/>
      <c r="F357" s="95"/>
      <c r="G357" s="114"/>
      <c r="H357" s="96"/>
      <c r="I357" s="97"/>
      <c r="J357" s="98"/>
      <c r="K357" s="101"/>
      <c r="L357" s="124"/>
      <c r="M357" s="333"/>
      <c r="N357" s="341"/>
      <c r="O357" s="190"/>
      <c r="P357" s="191"/>
      <c r="Q357" s="190"/>
      <c r="R357" s="191"/>
      <c r="S357" s="294"/>
      <c r="T357" s="300"/>
      <c r="U357" s="306"/>
      <c r="V357" s="308"/>
      <c r="W357" s="248"/>
      <c r="X357" s="342"/>
      <c r="Y357" s="337"/>
      <c r="Z357" s="123"/>
      <c r="AA357" s="83"/>
      <c r="AB357" s="123"/>
      <c r="AC357" s="83"/>
      <c r="AD357" s="123"/>
      <c r="AE357" s="83"/>
      <c r="AF357" s="123"/>
      <c r="AG357" s="243"/>
      <c r="AH357" s="33"/>
      <c r="AI357" s="245"/>
      <c r="AJ357" s="125"/>
      <c r="AK357" s="92"/>
      <c r="AL357" s="126"/>
      <c r="AM357" s="91"/>
      <c r="AN357" s="91"/>
      <c r="AO357" s="197">
        <f t="shared" si="23"/>
        <v>0</v>
      </c>
      <c r="AP357" s="126"/>
      <c r="AQ357" s="217"/>
      <c r="AR357" s="201"/>
      <c r="AS357" s="266"/>
      <c r="AT357" s="94"/>
      <c r="AU357" s="84"/>
      <c r="AV357" s="80"/>
      <c r="AW357" s="81"/>
      <c r="AX357" s="77"/>
      <c r="AY357" s="107"/>
      <c r="AZ357" s="220">
        <f t="shared" si="20"/>
        <v>0</v>
      </c>
      <c r="BA357" s="220">
        <f t="shared" si="21"/>
        <v>0</v>
      </c>
    </row>
    <row r="358" spans="1:53" ht="50.1" customHeight="1" x14ac:dyDescent="0.25">
      <c r="A358" s="17">
        <f t="shared" si="22"/>
        <v>344</v>
      </c>
      <c r="B358" s="229"/>
      <c r="C358" s="222"/>
      <c r="D358" s="112"/>
      <c r="E358" s="128"/>
      <c r="F358" s="183"/>
      <c r="G358" s="130"/>
      <c r="H358" s="131"/>
      <c r="I358" s="132"/>
      <c r="J358" s="189"/>
      <c r="K358" s="133"/>
      <c r="L358" s="134"/>
      <c r="M358" s="334"/>
      <c r="N358" s="343"/>
      <c r="O358" s="193"/>
      <c r="P358" s="191"/>
      <c r="Q358" s="193"/>
      <c r="R358" s="191"/>
      <c r="S358" s="296"/>
      <c r="T358" s="302"/>
      <c r="U358" s="306"/>
      <c r="V358" s="308"/>
      <c r="W358" s="249"/>
      <c r="X358" s="344"/>
      <c r="Y358" s="337"/>
      <c r="Z358" s="33"/>
      <c r="AA358" s="83"/>
      <c r="AB358" s="33"/>
      <c r="AC358" s="83"/>
      <c r="AD358" s="33"/>
      <c r="AE358" s="83"/>
      <c r="AF358" s="33"/>
      <c r="AG358" s="244"/>
      <c r="AH358" s="83"/>
      <c r="AI358" s="246"/>
      <c r="AJ358" s="102"/>
      <c r="AK358" s="92"/>
      <c r="AL358" s="91"/>
      <c r="AM358" s="92"/>
      <c r="AN358" s="351"/>
      <c r="AO358" s="197">
        <f t="shared" si="23"/>
        <v>0</v>
      </c>
      <c r="AP358" s="91"/>
      <c r="AQ358" s="217"/>
      <c r="AR358" s="83"/>
      <c r="AS358" s="267"/>
      <c r="AT358" s="94"/>
      <c r="AU358" s="84"/>
      <c r="AV358" s="136"/>
      <c r="AW358" s="81"/>
      <c r="AX358" s="137"/>
      <c r="AY358" s="138"/>
      <c r="AZ358" s="220">
        <f t="shared" si="20"/>
        <v>0</v>
      </c>
      <c r="BA358" s="220">
        <f t="shared" si="21"/>
        <v>0</v>
      </c>
    </row>
    <row r="359" spans="1:53" ht="50.1" customHeight="1" x14ac:dyDescent="0.25">
      <c r="A359" s="17">
        <f t="shared" si="22"/>
        <v>345</v>
      </c>
      <c r="B359" s="228"/>
      <c r="C359" s="221"/>
      <c r="D359" s="88"/>
      <c r="E359" s="100"/>
      <c r="F359" s="95"/>
      <c r="G359" s="114"/>
      <c r="H359" s="96"/>
      <c r="I359" s="97"/>
      <c r="J359" s="98"/>
      <c r="K359" s="101"/>
      <c r="L359" s="124"/>
      <c r="M359" s="333"/>
      <c r="N359" s="341"/>
      <c r="O359" s="190"/>
      <c r="P359" s="191"/>
      <c r="Q359" s="190"/>
      <c r="R359" s="191"/>
      <c r="S359" s="294"/>
      <c r="T359" s="300"/>
      <c r="U359" s="306"/>
      <c r="V359" s="308"/>
      <c r="W359" s="248"/>
      <c r="X359" s="342"/>
      <c r="Y359" s="337"/>
      <c r="Z359" s="123"/>
      <c r="AA359" s="83"/>
      <c r="AB359" s="123"/>
      <c r="AC359" s="83"/>
      <c r="AD359" s="123"/>
      <c r="AE359" s="83"/>
      <c r="AF359" s="123"/>
      <c r="AG359" s="243"/>
      <c r="AH359" s="33"/>
      <c r="AI359" s="245"/>
      <c r="AJ359" s="125"/>
      <c r="AK359" s="92"/>
      <c r="AL359" s="126"/>
      <c r="AM359" s="91"/>
      <c r="AN359" s="91"/>
      <c r="AO359" s="197">
        <f t="shared" si="23"/>
        <v>0</v>
      </c>
      <c r="AP359" s="126"/>
      <c r="AQ359" s="217"/>
      <c r="AR359" s="201"/>
      <c r="AS359" s="266"/>
      <c r="AT359" s="94"/>
      <c r="AU359" s="84"/>
      <c r="AV359" s="80"/>
      <c r="AW359" s="81"/>
      <c r="AX359" s="77"/>
      <c r="AY359" s="107"/>
      <c r="AZ359" s="220">
        <f t="shared" si="20"/>
        <v>0</v>
      </c>
      <c r="BA359" s="220">
        <f t="shared" si="21"/>
        <v>0</v>
      </c>
    </row>
    <row r="360" spans="1:53" ht="50.1" customHeight="1" x14ac:dyDescent="0.25">
      <c r="A360" s="17">
        <f t="shared" si="22"/>
        <v>346</v>
      </c>
      <c r="B360" s="229"/>
      <c r="C360" s="222"/>
      <c r="D360" s="112"/>
      <c r="E360" s="128"/>
      <c r="F360" s="183"/>
      <c r="G360" s="130"/>
      <c r="H360" s="131"/>
      <c r="I360" s="132"/>
      <c r="J360" s="189"/>
      <c r="K360" s="133"/>
      <c r="L360" s="134"/>
      <c r="M360" s="334"/>
      <c r="N360" s="343"/>
      <c r="O360" s="193"/>
      <c r="P360" s="191"/>
      <c r="Q360" s="193"/>
      <c r="R360" s="191"/>
      <c r="S360" s="296"/>
      <c r="T360" s="302"/>
      <c r="U360" s="306"/>
      <c r="V360" s="308"/>
      <c r="W360" s="249"/>
      <c r="X360" s="344"/>
      <c r="Y360" s="337"/>
      <c r="Z360" s="33"/>
      <c r="AA360" s="83"/>
      <c r="AB360" s="33"/>
      <c r="AC360" s="83"/>
      <c r="AD360" s="33"/>
      <c r="AE360" s="83"/>
      <c r="AF360" s="33"/>
      <c r="AG360" s="244"/>
      <c r="AH360" s="83"/>
      <c r="AI360" s="246"/>
      <c r="AJ360" s="102"/>
      <c r="AK360" s="92"/>
      <c r="AL360" s="91"/>
      <c r="AM360" s="92"/>
      <c r="AN360" s="351"/>
      <c r="AO360" s="197">
        <f t="shared" si="23"/>
        <v>0</v>
      </c>
      <c r="AP360" s="91"/>
      <c r="AQ360" s="217"/>
      <c r="AR360" s="83"/>
      <c r="AS360" s="267"/>
      <c r="AT360" s="94"/>
      <c r="AU360" s="84"/>
      <c r="AV360" s="136"/>
      <c r="AW360" s="81"/>
      <c r="AX360" s="137"/>
      <c r="AY360" s="138"/>
      <c r="AZ360" s="220">
        <f t="shared" si="20"/>
        <v>0</v>
      </c>
      <c r="BA360" s="220">
        <f t="shared" si="21"/>
        <v>0</v>
      </c>
    </row>
    <row r="361" spans="1:53" ht="50.1" customHeight="1" x14ac:dyDescent="0.25">
      <c r="A361" s="17">
        <f t="shared" si="22"/>
        <v>347</v>
      </c>
      <c r="B361" s="228"/>
      <c r="C361" s="221"/>
      <c r="D361" s="88"/>
      <c r="E361" s="100"/>
      <c r="F361" s="95"/>
      <c r="G361" s="114"/>
      <c r="H361" s="96"/>
      <c r="I361" s="97"/>
      <c r="J361" s="98"/>
      <c r="K361" s="101"/>
      <c r="L361" s="124"/>
      <c r="M361" s="333"/>
      <c r="N361" s="341"/>
      <c r="O361" s="190"/>
      <c r="P361" s="191"/>
      <c r="Q361" s="190"/>
      <c r="R361" s="191"/>
      <c r="S361" s="294"/>
      <c r="T361" s="300"/>
      <c r="U361" s="306"/>
      <c r="V361" s="308"/>
      <c r="W361" s="248"/>
      <c r="X361" s="342"/>
      <c r="Y361" s="337"/>
      <c r="Z361" s="123"/>
      <c r="AA361" s="83"/>
      <c r="AB361" s="123"/>
      <c r="AC361" s="83"/>
      <c r="AD361" s="123"/>
      <c r="AE361" s="83"/>
      <c r="AF361" s="123"/>
      <c r="AG361" s="243"/>
      <c r="AH361" s="33"/>
      <c r="AI361" s="245"/>
      <c r="AJ361" s="125"/>
      <c r="AK361" s="92"/>
      <c r="AL361" s="126"/>
      <c r="AM361" s="91"/>
      <c r="AN361" s="91"/>
      <c r="AO361" s="197">
        <f t="shared" si="23"/>
        <v>0</v>
      </c>
      <c r="AP361" s="126"/>
      <c r="AQ361" s="217"/>
      <c r="AR361" s="123"/>
      <c r="AS361" s="268"/>
      <c r="AT361" s="94"/>
      <c r="AU361" s="84"/>
      <c r="AV361" s="80"/>
      <c r="AW361" s="81"/>
      <c r="AX361" s="77"/>
      <c r="AY361" s="107"/>
      <c r="AZ361" s="220">
        <f t="shared" si="20"/>
        <v>0</v>
      </c>
      <c r="BA361" s="220">
        <f t="shared" si="21"/>
        <v>0</v>
      </c>
    </row>
    <row r="362" spans="1:53" ht="50.1" customHeight="1" x14ac:dyDescent="0.25">
      <c r="A362" s="17">
        <f t="shared" si="22"/>
        <v>348</v>
      </c>
      <c r="B362" s="229"/>
      <c r="C362" s="222"/>
      <c r="D362" s="112"/>
      <c r="E362" s="128"/>
      <c r="F362" s="183"/>
      <c r="G362" s="130"/>
      <c r="H362" s="131"/>
      <c r="I362" s="132"/>
      <c r="J362" s="189"/>
      <c r="K362" s="133"/>
      <c r="L362" s="134"/>
      <c r="M362" s="334"/>
      <c r="N362" s="343"/>
      <c r="O362" s="193"/>
      <c r="P362" s="191"/>
      <c r="Q362" s="193"/>
      <c r="R362" s="191"/>
      <c r="S362" s="296"/>
      <c r="T362" s="302"/>
      <c r="U362" s="306"/>
      <c r="V362" s="308"/>
      <c r="W362" s="249"/>
      <c r="X362" s="344"/>
      <c r="Y362" s="337"/>
      <c r="Z362" s="33"/>
      <c r="AA362" s="83"/>
      <c r="AB362" s="33"/>
      <c r="AC362" s="83"/>
      <c r="AD362" s="33"/>
      <c r="AE362" s="83"/>
      <c r="AF362" s="33"/>
      <c r="AG362" s="244"/>
      <c r="AH362" s="83"/>
      <c r="AI362" s="246"/>
      <c r="AJ362" s="102"/>
      <c r="AK362" s="92"/>
      <c r="AL362" s="91"/>
      <c r="AM362" s="92"/>
      <c r="AN362" s="351"/>
      <c r="AO362" s="197">
        <f t="shared" si="23"/>
        <v>0</v>
      </c>
      <c r="AP362" s="91"/>
      <c r="AQ362" s="217"/>
      <c r="AR362" s="83"/>
      <c r="AS362" s="267"/>
      <c r="AT362" s="94"/>
      <c r="AU362" s="84"/>
      <c r="AV362" s="136"/>
      <c r="AW362" s="81"/>
      <c r="AX362" s="137"/>
      <c r="AY362" s="138"/>
      <c r="AZ362" s="220">
        <f t="shared" si="20"/>
        <v>0</v>
      </c>
      <c r="BA362" s="220">
        <f t="shared" si="21"/>
        <v>0</v>
      </c>
    </row>
    <row r="363" spans="1:53" ht="50.1" customHeight="1" x14ac:dyDescent="0.25">
      <c r="A363" s="17">
        <f t="shared" si="22"/>
        <v>349</v>
      </c>
      <c r="B363" s="228"/>
      <c r="C363" s="221"/>
      <c r="D363" s="88"/>
      <c r="E363" s="100"/>
      <c r="F363" s="95"/>
      <c r="G363" s="114"/>
      <c r="H363" s="96"/>
      <c r="I363" s="97"/>
      <c r="J363" s="98"/>
      <c r="K363" s="101"/>
      <c r="L363" s="124"/>
      <c r="M363" s="371"/>
      <c r="N363" s="341"/>
      <c r="O363" s="190"/>
      <c r="P363" s="191"/>
      <c r="Q363" s="190"/>
      <c r="R363" s="191"/>
      <c r="S363" s="294"/>
      <c r="T363" s="300"/>
      <c r="U363" s="306"/>
      <c r="V363" s="308"/>
      <c r="W363" s="248"/>
      <c r="X363" s="342"/>
      <c r="Y363" s="337"/>
      <c r="Z363" s="123"/>
      <c r="AA363" s="83"/>
      <c r="AB363" s="123"/>
      <c r="AC363" s="83"/>
      <c r="AD363" s="123"/>
      <c r="AE363" s="83"/>
      <c r="AF363" s="123"/>
      <c r="AG363" s="243"/>
      <c r="AH363" s="33"/>
      <c r="AI363" s="245"/>
      <c r="AJ363" s="125"/>
      <c r="AK363" s="92"/>
      <c r="AL363" s="126"/>
      <c r="AM363" s="91"/>
      <c r="AN363" s="91"/>
      <c r="AO363" s="197">
        <f t="shared" si="23"/>
        <v>0</v>
      </c>
      <c r="AP363" s="126"/>
      <c r="AQ363" s="217"/>
      <c r="AR363" s="201"/>
      <c r="AS363" s="266"/>
      <c r="AT363" s="94"/>
      <c r="AU363" s="84"/>
      <c r="AV363" s="80"/>
      <c r="AW363" s="81"/>
      <c r="AX363" s="77"/>
      <c r="AY363" s="107"/>
      <c r="AZ363" s="220">
        <f t="shared" si="20"/>
        <v>0</v>
      </c>
      <c r="BA363" s="220">
        <f t="shared" si="21"/>
        <v>0</v>
      </c>
    </row>
    <row r="364" spans="1:53" ht="50.1" customHeight="1" x14ac:dyDescent="0.25">
      <c r="A364" s="17">
        <f t="shared" si="22"/>
        <v>350</v>
      </c>
      <c r="B364" s="229"/>
      <c r="C364" s="222"/>
      <c r="D364" s="112"/>
      <c r="E364" s="128"/>
      <c r="F364" s="183"/>
      <c r="G364" s="130"/>
      <c r="H364" s="131"/>
      <c r="I364" s="132"/>
      <c r="J364" s="189"/>
      <c r="K364" s="133"/>
      <c r="L364" s="134"/>
      <c r="M364" s="334"/>
      <c r="N364" s="343"/>
      <c r="O364" s="193"/>
      <c r="P364" s="191"/>
      <c r="Q364" s="193"/>
      <c r="R364" s="191"/>
      <c r="S364" s="296"/>
      <c r="T364" s="302"/>
      <c r="U364" s="306"/>
      <c r="V364" s="308"/>
      <c r="W364" s="249"/>
      <c r="X364" s="344"/>
      <c r="Y364" s="337"/>
      <c r="Z364" s="33"/>
      <c r="AA364" s="83"/>
      <c r="AB364" s="33"/>
      <c r="AC364" s="83"/>
      <c r="AD364" s="33"/>
      <c r="AE364" s="83"/>
      <c r="AF364" s="33"/>
      <c r="AG364" s="244"/>
      <c r="AH364" s="83"/>
      <c r="AI364" s="246"/>
      <c r="AJ364" s="102"/>
      <c r="AK364" s="92"/>
      <c r="AL364" s="91"/>
      <c r="AM364" s="92"/>
      <c r="AN364" s="351"/>
      <c r="AO364" s="197">
        <f t="shared" si="23"/>
        <v>0</v>
      </c>
      <c r="AP364" s="91"/>
      <c r="AQ364" s="217"/>
      <c r="AR364" s="83"/>
      <c r="AS364" s="267"/>
      <c r="AT364" s="94"/>
      <c r="AU364" s="84"/>
      <c r="AV364" s="136"/>
      <c r="AW364" s="81"/>
      <c r="AX364" s="137"/>
      <c r="AY364" s="138"/>
      <c r="AZ364" s="220">
        <f t="shared" si="20"/>
        <v>0</v>
      </c>
      <c r="BA364" s="220">
        <f t="shared" si="21"/>
        <v>0</v>
      </c>
    </row>
    <row r="365" spans="1:53" ht="50.1" customHeight="1" x14ac:dyDescent="0.25">
      <c r="A365" s="17">
        <f t="shared" si="22"/>
        <v>351</v>
      </c>
      <c r="B365" s="228"/>
      <c r="C365" s="221"/>
      <c r="D365" s="88"/>
      <c r="E365" s="100"/>
      <c r="F365" s="95"/>
      <c r="G365" s="114"/>
      <c r="H365" s="96"/>
      <c r="I365" s="97"/>
      <c r="J365" s="98"/>
      <c r="K365" s="101"/>
      <c r="L365" s="124"/>
      <c r="M365" s="333"/>
      <c r="N365" s="341"/>
      <c r="O365" s="190"/>
      <c r="P365" s="191"/>
      <c r="Q365" s="190"/>
      <c r="R365" s="191"/>
      <c r="S365" s="294"/>
      <c r="T365" s="300"/>
      <c r="U365" s="306"/>
      <c r="V365" s="308"/>
      <c r="W365" s="248"/>
      <c r="X365" s="342"/>
      <c r="Y365" s="337"/>
      <c r="Z365" s="123"/>
      <c r="AA365" s="83"/>
      <c r="AB365" s="123"/>
      <c r="AC365" s="83"/>
      <c r="AD365" s="123"/>
      <c r="AE365" s="83"/>
      <c r="AF365" s="123"/>
      <c r="AG365" s="243"/>
      <c r="AH365" s="33"/>
      <c r="AI365" s="245"/>
      <c r="AJ365" s="125"/>
      <c r="AK365" s="92"/>
      <c r="AL365" s="126"/>
      <c r="AM365" s="91"/>
      <c r="AN365" s="91"/>
      <c r="AO365" s="197">
        <f t="shared" si="23"/>
        <v>0</v>
      </c>
      <c r="AP365" s="126"/>
      <c r="AQ365" s="217"/>
      <c r="AR365" s="123"/>
      <c r="AS365" s="268"/>
      <c r="AT365" s="94"/>
      <c r="AU365" s="84"/>
      <c r="AV365" s="80"/>
      <c r="AW365" s="81"/>
      <c r="AX365" s="77"/>
      <c r="AY365" s="107"/>
      <c r="AZ365" s="220">
        <f t="shared" si="20"/>
        <v>0</v>
      </c>
      <c r="BA365" s="220">
        <f t="shared" si="21"/>
        <v>0</v>
      </c>
    </row>
    <row r="366" spans="1:53" ht="50.1" customHeight="1" x14ac:dyDescent="0.25">
      <c r="A366" s="17">
        <f t="shared" si="22"/>
        <v>352</v>
      </c>
      <c r="B366" s="229"/>
      <c r="C366" s="222"/>
      <c r="D366" s="112"/>
      <c r="E366" s="128"/>
      <c r="F366" s="183"/>
      <c r="G366" s="130"/>
      <c r="H366" s="131"/>
      <c r="I366" s="132"/>
      <c r="J366" s="189"/>
      <c r="K366" s="133"/>
      <c r="L366" s="134"/>
      <c r="M366" s="334"/>
      <c r="N366" s="343"/>
      <c r="O366" s="193"/>
      <c r="P366" s="191"/>
      <c r="Q366" s="193"/>
      <c r="R366" s="191"/>
      <c r="S366" s="296"/>
      <c r="T366" s="302"/>
      <c r="U366" s="306"/>
      <c r="V366" s="308"/>
      <c r="W366" s="249"/>
      <c r="X366" s="344"/>
      <c r="Y366" s="337"/>
      <c r="Z366" s="33"/>
      <c r="AA366" s="83"/>
      <c r="AB366" s="33"/>
      <c r="AC366" s="83"/>
      <c r="AD366" s="33"/>
      <c r="AE366" s="83"/>
      <c r="AF366" s="33"/>
      <c r="AG366" s="244"/>
      <c r="AH366" s="83"/>
      <c r="AI366" s="246"/>
      <c r="AJ366" s="102"/>
      <c r="AK366" s="92"/>
      <c r="AL366" s="91"/>
      <c r="AM366" s="92"/>
      <c r="AN366" s="351"/>
      <c r="AO366" s="197">
        <f t="shared" si="23"/>
        <v>0</v>
      </c>
      <c r="AP366" s="91"/>
      <c r="AQ366" s="217"/>
      <c r="AR366" s="83"/>
      <c r="AS366" s="267"/>
      <c r="AT366" s="94"/>
      <c r="AU366" s="84"/>
      <c r="AV366" s="136"/>
      <c r="AW366" s="81"/>
      <c r="AX366" s="137"/>
      <c r="AY366" s="138"/>
      <c r="AZ366" s="220">
        <f t="shared" si="20"/>
        <v>0</v>
      </c>
      <c r="BA366" s="220">
        <f t="shared" si="21"/>
        <v>0</v>
      </c>
    </row>
    <row r="367" spans="1:53" ht="50.1" customHeight="1" x14ac:dyDescent="0.25">
      <c r="A367" s="17">
        <f t="shared" si="22"/>
        <v>353</v>
      </c>
      <c r="B367" s="228"/>
      <c r="C367" s="221"/>
      <c r="D367" s="88"/>
      <c r="E367" s="100"/>
      <c r="F367" s="95"/>
      <c r="G367" s="114"/>
      <c r="H367" s="96"/>
      <c r="I367" s="97"/>
      <c r="J367" s="98"/>
      <c r="K367" s="101"/>
      <c r="L367" s="124"/>
      <c r="M367" s="333"/>
      <c r="N367" s="341"/>
      <c r="O367" s="190"/>
      <c r="P367" s="191"/>
      <c r="Q367" s="190"/>
      <c r="R367" s="191"/>
      <c r="S367" s="294"/>
      <c r="T367" s="300"/>
      <c r="U367" s="306"/>
      <c r="V367" s="308"/>
      <c r="W367" s="248"/>
      <c r="X367" s="342"/>
      <c r="Y367" s="337"/>
      <c r="Z367" s="123"/>
      <c r="AA367" s="83"/>
      <c r="AB367" s="123"/>
      <c r="AC367" s="83"/>
      <c r="AD367" s="123"/>
      <c r="AE367" s="83"/>
      <c r="AF367" s="123"/>
      <c r="AG367" s="243"/>
      <c r="AH367" s="33"/>
      <c r="AI367" s="245"/>
      <c r="AJ367" s="198"/>
      <c r="AK367" s="92"/>
      <c r="AL367" s="126"/>
      <c r="AM367" s="91"/>
      <c r="AN367" s="91"/>
      <c r="AO367" s="197">
        <f t="shared" si="23"/>
        <v>0</v>
      </c>
      <c r="AP367" s="126"/>
      <c r="AQ367" s="217"/>
      <c r="AR367" s="123"/>
      <c r="AS367" s="268"/>
      <c r="AT367" s="94"/>
      <c r="AU367" s="84"/>
      <c r="AV367" s="80"/>
      <c r="AW367" s="81"/>
      <c r="AX367" s="77"/>
      <c r="AY367" s="107"/>
      <c r="AZ367" s="220">
        <f t="shared" si="20"/>
        <v>0</v>
      </c>
      <c r="BA367" s="220">
        <f t="shared" si="21"/>
        <v>0</v>
      </c>
    </row>
    <row r="368" spans="1:53" ht="50.1" customHeight="1" x14ac:dyDescent="0.25">
      <c r="A368" s="17">
        <f t="shared" si="22"/>
        <v>354</v>
      </c>
      <c r="B368" s="229"/>
      <c r="C368" s="222"/>
      <c r="D368" s="112"/>
      <c r="E368" s="128"/>
      <c r="F368" s="183"/>
      <c r="G368" s="130"/>
      <c r="H368" s="131"/>
      <c r="I368" s="132"/>
      <c r="J368" s="189"/>
      <c r="K368" s="133"/>
      <c r="L368" s="134"/>
      <c r="M368" s="334"/>
      <c r="N368" s="343"/>
      <c r="O368" s="193"/>
      <c r="P368" s="191"/>
      <c r="Q368" s="193"/>
      <c r="R368" s="191"/>
      <c r="S368" s="296"/>
      <c r="T368" s="302"/>
      <c r="U368" s="306"/>
      <c r="V368" s="308"/>
      <c r="W368" s="249"/>
      <c r="X368" s="344"/>
      <c r="Y368" s="337"/>
      <c r="Z368" s="33"/>
      <c r="AA368" s="83"/>
      <c r="AB368" s="33"/>
      <c r="AC368" s="83"/>
      <c r="AD368" s="33"/>
      <c r="AE368" s="83"/>
      <c r="AF368" s="33"/>
      <c r="AG368" s="244"/>
      <c r="AH368" s="83"/>
      <c r="AI368" s="246"/>
      <c r="AJ368" s="195"/>
      <c r="AK368" s="92"/>
      <c r="AL368" s="91"/>
      <c r="AM368" s="92"/>
      <c r="AN368" s="351"/>
      <c r="AO368" s="197">
        <f t="shared" si="23"/>
        <v>0</v>
      </c>
      <c r="AP368" s="91"/>
      <c r="AQ368" s="217"/>
      <c r="AR368" s="83"/>
      <c r="AS368" s="267"/>
      <c r="AT368" s="94"/>
      <c r="AU368" s="84"/>
      <c r="AV368" s="136"/>
      <c r="AW368" s="81"/>
      <c r="AX368" s="137"/>
      <c r="AY368" s="138"/>
      <c r="AZ368" s="220">
        <f t="shared" si="20"/>
        <v>0</v>
      </c>
      <c r="BA368" s="220">
        <f t="shared" si="21"/>
        <v>0</v>
      </c>
    </row>
    <row r="369" spans="1:53" ht="50.1" customHeight="1" x14ac:dyDescent="0.25">
      <c r="A369" s="17">
        <f t="shared" si="22"/>
        <v>355</v>
      </c>
      <c r="B369" s="228"/>
      <c r="C369" s="221"/>
      <c r="D369" s="88"/>
      <c r="E369" s="100"/>
      <c r="F369" s="95"/>
      <c r="G369" s="114"/>
      <c r="H369" s="96"/>
      <c r="I369" s="97"/>
      <c r="J369" s="98"/>
      <c r="K369" s="101"/>
      <c r="L369" s="124"/>
      <c r="M369" s="333"/>
      <c r="N369" s="341"/>
      <c r="O369" s="190"/>
      <c r="P369" s="191"/>
      <c r="Q369" s="190"/>
      <c r="R369" s="191"/>
      <c r="S369" s="294"/>
      <c r="T369" s="300"/>
      <c r="U369" s="306"/>
      <c r="V369" s="308"/>
      <c r="W369" s="248"/>
      <c r="X369" s="342"/>
      <c r="Y369" s="337"/>
      <c r="Z369" s="123"/>
      <c r="AA369" s="83"/>
      <c r="AB369" s="123"/>
      <c r="AC369" s="83"/>
      <c r="AD369" s="123"/>
      <c r="AE369" s="83"/>
      <c r="AF369" s="123"/>
      <c r="AG369" s="243"/>
      <c r="AH369" s="33"/>
      <c r="AI369" s="245"/>
      <c r="AJ369" s="198"/>
      <c r="AK369" s="92"/>
      <c r="AL369" s="126"/>
      <c r="AM369" s="91"/>
      <c r="AN369" s="91"/>
      <c r="AO369" s="197">
        <f t="shared" si="23"/>
        <v>0</v>
      </c>
      <c r="AP369" s="126"/>
      <c r="AQ369" s="217"/>
      <c r="AR369" s="123"/>
      <c r="AS369" s="268"/>
      <c r="AT369" s="94"/>
      <c r="AU369" s="84"/>
      <c r="AV369" s="80"/>
      <c r="AW369" s="81"/>
      <c r="AX369" s="77"/>
      <c r="AY369" s="107"/>
      <c r="AZ369" s="220">
        <f t="shared" si="20"/>
        <v>0</v>
      </c>
      <c r="BA369" s="220">
        <f t="shared" si="21"/>
        <v>0</v>
      </c>
    </row>
    <row r="370" spans="1:53" ht="50.1" customHeight="1" x14ac:dyDescent="0.25">
      <c r="A370" s="17">
        <f t="shared" si="22"/>
        <v>356</v>
      </c>
      <c r="B370" s="229"/>
      <c r="C370" s="222"/>
      <c r="D370" s="112"/>
      <c r="E370" s="128"/>
      <c r="F370" s="183"/>
      <c r="G370" s="130"/>
      <c r="H370" s="131"/>
      <c r="I370" s="132"/>
      <c r="J370" s="189"/>
      <c r="K370" s="133"/>
      <c r="L370" s="134"/>
      <c r="M370" s="334"/>
      <c r="N370" s="343"/>
      <c r="O370" s="193"/>
      <c r="P370" s="191"/>
      <c r="Q370" s="193"/>
      <c r="R370" s="191"/>
      <c r="S370" s="296"/>
      <c r="T370" s="302"/>
      <c r="U370" s="306"/>
      <c r="V370" s="308"/>
      <c r="W370" s="249"/>
      <c r="X370" s="344"/>
      <c r="Y370" s="337"/>
      <c r="Z370" s="33"/>
      <c r="AA370" s="83"/>
      <c r="AB370" s="33"/>
      <c r="AC370" s="83"/>
      <c r="AD370" s="33"/>
      <c r="AE370" s="83"/>
      <c r="AF370" s="33"/>
      <c r="AG370" s="244"/>
      <c r="AH370" s="83"/>
      <c r="AI370" s="246"/>
      <c r="AJ370" s="102"/>
      <c r="AK370" s="92"/>
      <c r="AL370" s="91"/>
      <c r="AM370" s="92"/>
      <c r="AN370" s="351"/>
      <c r="AO370" s="197">
        <f t="shared" si="23"/>
        <v>0</v>
      </c>
      <c r="AP370" s="91"/>
      <c r="AQ370" s="217"/>
      <c r="AR370" s="83"/>
      <c r="AS370" s="267"/>
      <c r="AT370" s="94"/>
      <c r="AU370" s="84"/>
      <c r="AV370" s="136"/>
      <c r="AW370" s="81"/>
      <c r="AX370" s="137"/>
      <c r="AY370" s="138"/>
      <c r="AZ370" s="220">
        <f t="shared" si="20"/>
        <v>0</v>
      </c>
      <c r="BA370" s="220">
        <f t="shared" si="21"/>
        <v>0</v>
      </c>
    </row>
    <row r="371" spans="1:53" ht="50.1" customHeight="1" x14ac:dyDescent="0.25">
      <c r="A371" s="17">
        <f t="shared" si="22"/>
        <v>357</v>
      </c>
      <c r="B371" s="228"/>
      <c r="C371" s="221"/>
      <c r="D371" s="88"/>
      <c r="E371" s="100"/>
      <c r="F371" s="95"/>
      <c r="G371" s="114"/>
      <c r="H371" s="96"/>
      <c r="I371" s="97"/>
      <c r="J371" s="98"/>
      <c r="K371" s="101"/>
      <c r="L371" s="124"/>
      <c r="M371" s="333"/>
      <c r="N371" s="341"/>
      <c r="O371" s="190"/>
      <c r="P371" s="191"/>
      <c r="Q371" s="190"/>
      <c r="R371" s="191"/>
      <c r="S371" s="294"/>
      <c r="T371" s="300"/>
      <c r="U371" s="306"/>
      <c r="V371" s="308"/>
      <c r="W371" s="248"/>
      <c r="X371" s="342"/>
      <c r="Y371" s="337"/>
      <c r="Z371" s="123"/>
      <c r="AA371" s="83"/>
      <c r="AB371" s="123"/>
      <c r="AC371" s="83"/>
      <c r="AD371" s="123"/>
      <c r="AE371" s="83"/>
      <c r="AF371" s="123"/>
      <c r="AG371" s="243"/>
      <c r="AH371" s="33"/>
      <c r="AI371" s="245"/>
      <c r="AJ371" s="125"/>
      <c r="AK371" s="92"/>
      <c r="AL371" s="126"/>
      <c r="AM371" s="91"/>
      <c r="AN371" s="91"/>
      <c r="AO371" s="197">
        <f t="shared" si="23"/>
        <v>0</v>
      </c>
      <c r="AP371" s="126"/>
      <c r="AQ371" s="217"/>
      <c r="AR371" s="123"/>
      <c r="AS371" s="268"/>
      <c r="AT371" s="94"/>
      <c r="AU371" s="84"/>
      <c r="AV371" s="80"/>
      <c r="AW371" s="81"/>
      <c r="AX371" s="77"/>
      <c r="AY371" s="107"/>
      <c r="AZ371" s="220">
        <f t="shared" si="20"/>
        <v>0</v>
      </c>
      <c r="BA371" s="220">
        <f t="shared" si="21"/>
        <v>0</v>
      </c>
    </row>
    <row r="372" spans="1:53" ht="50.1" customHeight="1" x14ac:dyDescent="0.25">
      <c r="A372" s="17">
        <f t="shared" si="22"/>
        <v>358</v>
      </c>
      <c r="B372" s="229"/>
      <c r="C372" s="222"/>
      <c r="D372" s="112"/>
      <c r="E372" s="128"/>
      <c r="F372" s="183"/>
      <c r="G372" s="130"/>
      <c r="H372" s="131"/>
      <c r="I372" s="132"/>
      <c r="J372" s="189"/>
      <c r="K372" s="133"/>
      <c r="L372" s="134"/>
      <c r="M372" s="334"/>
      <c r="N372" s="343"/>
      <c r="O372" s="193"/>
      <c r="P372" s="191"/>
      <c r="Q372" s="193"/>
      <c r="R372" s="191"/>
      <c r="S372" s="296"/>
      <c r="T372" s="302"/>
      <c r="U372" s="306"/>
      <c r="V372" s="308"/>
      <c r="W372" s="249"/>
      <c r="X372" s="344"/>
      <c r="Y372" s="337"/>
      <c r="Z372" s="33"/>
      <c r="AA372" s="83"/>
      <c r="AB372" s="33"/>
      <c r="AC372" s="83"/>
      <c r="AD372" s="33"/>
      <c r="AE372" s="83"/>
      <c r="AF372" s="33"/>
      <c r="AG372" s="244"/>
      <c r="AH372" s="83"/>
      <c r="AI372" s="246"/>
      <c r="AJ372" s="102"/>
      <c r="AK372" s="92"/>
      <c r="AL372" s="91"/>
      <c r="AM372" s="92"/>
      <c r="AN372" s="351"/>
      <c r="AO372" s="197">
        <f t="shared" si="23"/>
        <v>0</v>
      </c>
      <c r="AP372" s="91"/>
      <c r="AQ372" s="217"/>
      <c r="AR372" s="83"/>
      <c r="AS372" s="267"/>
      <c r="AT372" s="94"/>
      <c r="AU372" s="84"/>
      <c r="AV372" s="136"/>
      <c r="AW372" s="81"/>
      <c r="AX372" s="137"/>
      <c r="AY372" s="138"/>
      <c r="AZ372" s="220">
        <f t="shared" si="20"/>
        <v>0</v>
      </c>
      <c r="BA372" s="220">
        <f t="shared" si="21"/>
        <v>0</v>
      </c>
    </row>
    <row r="373" spans="1:53" ht="50.1" customHeight="1" x14ac:dyDescent="0.25">
      <c r="A373" s="17">
        <f t="shared" si="22"/>
        <v>359</v>
      </c>
      <c r="B373" s="228"/>
      <c r="C373" s="221"/>
      <c r="D373" s="88"/>
      <c r="E373" s="100"/>
      <c r="F373" s="95"/>
      <c r="G373" s="114"/>
      <c r="H373" s="96"/>
      <c r="I373" s="97"/>
      <c r="J373" s="98"/>
      <c r="K373" s="101"/>
      <c r="L373" s="124"/>
      <c r="M373" s="333"/>
      <c r="N373" s="341"/>
      <c r="O373" s="190"/>
      <c r="P373" s="191"/>
      <c r="Q373" s="190"/>
      <c r="R373" s="191"/>
      <c r="S373" s="294"/>
      <c r="T373" s="300"/>
      <c r="U373" s="306"/>
      <c r="V373" s="308"/>
      <c r="W373" s="248"/>
      <c r="X373" s="342"/>
      <c r="Y373" s="337"/>
      <c r="Z373" s="123"/>
      <c r="AA373" s="83"/>
      <c r="AB373" s="123"/>
      <c r="AC373" s="83"/>
      <c r="AD373" s="123"/>
      <c r="AE373" s="83"/>
      <c r="AF373" s="123"/>
      <c r="AG373" s="243"/>
      <c r="AH373" s="33"/>
      <c r="AI373" s="245"/>
      <c r="AJ373" s="125"/>
      <c r="AK373" s="92"/>
      <c r="AL373" s="126"/>
      <c r="AM373" s="91"/>
      <c r="AN373" s="91"/>
      <c r="AO373" s="197">
        <f t="shared" si="23"/>
        <v>0</v>
      </c>
      <c r="AP373" s="126"/>
      <c r="AQ373" s="217"/>
      <c r="AR373" s="123"/>
      <c r="AS373" s="268"/>
      <c r="AT373" s="94"/>
      <c r="AU373" s="84"/>
      <c r="AV373" s="80"/>
      <c r="AW373" s="81"/>
      <c r="AX373" s="77"/>
      <c r="AY373" s="107"/>
      <c r="AZ373" s="220">
        <f t="shared" si="20"/>
        <v>0</v>
      </c>
      <c r="BA373" s="220">
        <f t="shared" si="21"/>
        <v>0</v>
      </c>
    </row>
    <row r="374" spans="1:53" ht="50.1" customHeight="1" x14ac:dyDescent="0.25">
      <c r="A374" s="17">
        <f t="shared" si="22"/>
        <v>360</v>
      </c>
      <c r="B374" s="229"/>
      <c r="C374" s="222"/>
      <c r="D374" s="112"/>
      <c r="E374" s="128"/>
      <c r="F374" s="183"/>
      <c r="G374" s="130"/>
      <c r="H374" s="131"/>
      <c r="I374" s="132"/>
      <c r="J374" s="189"/>
      <c r="K374" s="133"/>
      <c r="L374" s="134"/>
      <c r="M374" s="334"/>
      <c r="N374" s="343"/>
      <c r="O374" s="193"/>
      <c r="P374" s="191"/>
      <c r="Q374" s="193"/>
      <c r="R374" s="191"/>
      <c r="S374" s="296"/>
      <c r="T374" s="302"/>
      <c r="U374" s="306"/>
      <c r="V374" s="308"/>
      <c r="W374" s="249"/>
      <c r="X374" s="344"/>
      <c r="Y374" s="337"/>
      <c r="Z374" s="33"/>
      <c r="AA374" s="83"/>
      <c r="AB374" s="33"/>
      <c r="AC374" s="83"/>
      <c r="AD374" s="33"/>
      <c r="AE374" s="83"/>
      <c r="AF374" s="33"/>
      <c r="AG374" s="244"/>
      <c r="AH374" s="83"/>
      <c r="AI374" s="246"/>
      <c r="AJ374" s="102"/>
      <c r="AK374" s="92"/>
      <c r="AL374" s="91"/>
      <c r="AM374" s="92"/>
      <c r="AN374" s="351"/>
      <c r="AO374" s="197">
        <f t="shared" si="23"/>
        <v>0</v>
      </c>
      <c r="AP374" s="91"/>
      <c r="AQ374" s="217"/>
      <c r="AR374" s="83"/>
      <c r="AS374" s="267"/>
      <c r="AT374" s="94"/>
      <c r="AU374" s="84"/>
      <c r="AV374" s="136"/>
      <c r="AW374" s="81"/>
      <c r="AX374" s="137"/>
      <c r="AY374" s="138"/>
      <c r="AZ374" s="220">
        <f t="shared" si="20"/>
        <v>0</v>
      </c>
      <c r="BA374" s="220">
        <f t="shared" si="21"/>
        <v>0</v>
      </c>
    </row>
    <row r="375" spans="1:53" ht="50.1" customHeight="1" x14ac:dyDescent="0.25">
      <c r="A375" s="17">
        <f t="shared" si="22"/>
        <v>361</v>
      </c>
      <c r="B375" s="228"/>
      <c r="C375" s="221"/>
      <c r="D375" s="88"/>
      <c r="E375" s="100"/>
      <c r="F375" s="95"/>
      <c r="G375" s="114"/>
      <c r="H375" s="96"/>
      <c r="I375" s="97"/>
      <c r="J375" s="98"/>
      <c r="K375" s="101"/>
      <c r="L375" s="124"/>
      <c r="M375" s="333"/>
      <c r="N375" s="341"/>
      <c r="O375" s="190"/>
      <c r="P375" s="191"/>
      <c r="Q375" s="190"/>
      <c r="R375" s="191"/>
      <c r="S375" s="294"/>
      <c r="T375" s="300"/>
      <c r="U375" s="306"/>
      <c r="V375" s="308"/>
      <c r="W375" s="248"/>
      <c r="X375" s="342"/>
      <c r="Y375" s="337"/>
      <c r="Z375" s="123"/>
      <c r="AA375" s="83"/>
      <c r="AB375" s="123"/>
      <c r="AC375" s="83"/>
      <c r="AD375" s="123"/>
      <c r="AE375" s="83"/>
      <c r="AF375" s="123"/>
      <c r="AG375" s="243"/>
      <c r="AH375" s="33"/>
      <c r="AI375" s="245"/>
      <c r="AJ375" s="125"/>
      <c r="AK375" s="92"/>
      <c r="AL375" s="126"/>
      <c r="AM375" s="91"/>
      <c r="AN375" s="91"/>
      <c r="AO375" s="197">
        <f t="shared" si="23"/>
        <v>0</v>
      </c>
      <c r="AP375" s="126"/>
      <c r="AQ375" s="217"/>
      <c r="AR375" s="201"/>
      <c r="AS375" s="266"/>
      <c r="AT375" s="94"/>
      <c r="AU375" s="84"/>
      <c r="AV375" s="80"/>
      <c r="AW375" s="81"/>
      <c r="AX375" s="77"/>
      <c r="AY375" s="107"/>
      <c r="AZ375" s="220">
        <f t="shared" si="20"/>
        <v>0</v>
      </c>
      <c r="BA375" s="220">
        <f t="shared" si="21"/>
        <v>0</v>
      </c>
    </row>
    <row r="376" spans="1:53" ht="50.1" customHeight="1" x14ac:dyDescent="0.25">
      <c r="A376" s="17">
        <f t="shared" si="22"/>
        <v>362</v>
      </c>
      <c r="B376" s="229"/>
      <c r="C376" s="222"/>
      <c r="D376" s="112"/>
      <c r="E376" s="128"/>
      <c r="F376" s="183"/>
      <c r="G376" s="130"/>
      <c r="H376" s="131"/>
      <c r="I376" s="132"/>
      <c r="J376" s="189"/>
      <c r="K376" s="133"/>
      <c r="L376" s="134"/>
      <c r="M376" s="334"/>
      <c r="N376" s="343"/>
      <c r="O376" s="193"/>
      <c r="P376" s="191"/>
      <c r="Q376" s="193"/>
      <c r="R376" s="191"/>
      <c r="S376" s="296"/>
      <c r="T376" s="302"/>
      <c r="U376" s="306"/>
      <c r="V376" s="308"/>
      <c r="W376" s="249"/>
      <c r="X376" s="344"/>
      <c r="Y376" s="337"/>
      <c r="Z376" s="33"/>
      <c r="AA376" s="83"/>
      <c r="AB376" s="33"/>
      <c r="AC376" s="83"/>
      <c r="AD376" s="33"/>
      <c r="AE376" s="83"/>
      <c r="AF376" s="33"/>
      <c r="AG376" s="244"/>
      <c r="AH376" s="83"/>
      <c r="AI376" s="246"/>
      <c r="AJ376" s="102"/>
      <c r="AK376" s="92"/>
      <c r="AL376" s="91"/>
      <c r="AM376" s="92"/>
      <c r="AN376" s="351"/>
      <c r="AO376" s="197">
        <f t="shared" si="23"/>
        <v>0</v>
      </c>
      <c r="AP376" s="91"/>
      <c r="AQ376" s="217"/>
      <c r="AR376" s="103"/>
      <c r="AS376" s="264"/>
      <c r="AT376" s="94"/>
      <c r="AU376" s="84"/>
      <c r="AV376" s="136"/>
      <c r="AW376" s="81"/>
      <c r="AX376" s="137"/>
      <c r="AY376" s="138"/>
      <c r="AZ376" s="220">
        <f t="shared" si="20"/>
        <v>0</v>
      </c>
      <c r="BA376" s="220">
        <f t="shared" si="21"/>
        <v>0</v>
      </c>
    </row>
    <row r="377" spans="1:53" ht="50.1" customHeight="1" x14ac:dyDescent="0.25">
      <c r="A377" s="17">
        <f t="shared" si="22"/>
        <v>363</v>
      </c>
      <c r="B377" s="228"/>
      <c r="C377" s="221"/>
      <c r="D377" s="88"/>
      <c r="E377" s="100"/>
      <c r="F377" s="95"/>
      <c r="G377" s="114"/>
      <c r="H377" s="96"/>
      <c r="I377" s="97"/>
      <c r="J377" s="98"/>
      <c r="K377" s="101"/>
      <c r="L377" s="124"/>
      <c r="M377" s="333"/>
      <c r="N377" s="341"/>
      <c r="O377" s="190"/>
      <c r="P377" s="191"/>
      <c r="Q377" s="190"/>
      <c r="R377" s="191"/>
      <c r="S377" s="294"/>
      <c r="T377" s="300"/>
      <c r="U377" s="306"/>
      <c r="V377" s="308"/>
      <c r="W377" s="248"/>
      <c r="X377" s="342"/>
      <c r="Y377" s="337"/>
      <c r="Z377" s="123"/>
      <c r="AA377" s="83"/>
      <c r="AB377" s="123"/>
      <c r="AC377" s="83"/>
      <c r="AD377" s="123"/>
      <c r="AE377" s="83"/>
      <c r="AF377" s="123"/>
      <c r="AG377" s="243"/>
      <c r="AH377" s="33"/>
      <c r="AI377" s="245"/>
      <c r="AJ377" s="125"/>
      <c r="AK377" s="92"/>
      <c r="AL377" s="126"/>
      <c r="AM377" s="91"/>
      <c r="AN377" s="91"/>
      <c r="AO377" s="197">
        <f t="shared" si="23"/>
        <v>0</v>
      </c>
      <c r="AP377" s="126"/>
      <c r="AQ377" s="217"/>
      <c r="AR377" s="201"/>
      <c r="AS377" s="266"/>
      <c r="AT377" s="94"/>
      <c r="AU377" s="84"/>
      <c r="AV377" s="80"/>
      <c r="AW377" s="81"/>
      <c r="AX377" s="77"/>
      <c r="AY377" s="107"/>
      <c r="AZ377" s="220">
        <f t="shared" si="20"/>
        <v>0</v>
      </c>
      <c r="BA377" s="220">
        <f t="shared" si="21"/>
        <v>0</v>
      </c>
    </row>
    <row r="378" spans="1:53" ht="50.1" customHeight="1" x14ac:dyDescent="0.25">
      <c r="A378" s="17">
        <f t="shared" si="22"/>
        <v>364</v>
      </c>
      <c r="B378" s="229"/>
      <c r="C378" s="222"/>
      <c r="D378" s="112"/>
      <c r="E378" s="128"/>
      <c r="F378" s="183"/>
      <c r="G378" s="130"/>
      <c r="H378" s="131"/>
      <c r="I378" s="132"/>
      <c r="J378" s="189"/>
      <c r="K378" s="133"/>
      <c r="L378" s="134"/>
      <c r="M378" s="334"/>
      <c r="N378" s="343"/>
      <c r="O378" s="193"/>
      <c r="P378" s="191"/>
      <c r="Q378" s="193"/>
      <c r="R378" s="191"/>
      <c r="S378" s="296"/>
      <c r="T378" s="302"/>
      <c r="U378" s="306"/>
      <c r="V378" s="308"/>
      <c r="W378" s="249"/>
      <c r="X378" s="344"/>
      <c r="Y378" s="337"/>
      <c r="Z378" s="33"/>
      <c r="AA378" s="83"/>
      <c r="AB378" s="33"/>
      <c r="AC378" s="83"/>
      <c r="AD378" s="33"/>
      <c r="AE378" s="83"/>
      <c r="AF378" s="33"/>
      <c r="AG378" s="244"/>
      <c r="AH378" s="83"/>
      <c r="AI378" s="246"/>
      <c r="AJ378" s="102"/>
      <c r="AK378" s="92"/>
      <c r="AL378" s="91"/>
      <c r="AM378" s="92"/>
      <c r="AN378" s="351"/>
      <c r="AO378" s="197">
        <f t="shared" si="23"/>
        <v>0</v>
      </c>
      <c r="AP378" s="91"/>
      <c r="AQ378" s="217"/>
      <c r="AR378" s="103"/>
      <c r="AS378" s="264"/>
      <c r="AT378" s="94"/>
      <c r="AU378" s="84"/>
      <c r="AV378" s="136"/>
      <c r="AW378" s="81"/>
      <c r="AX378" s="137"/>
      <c r="AY378" s="138"/>
      <c r="AZ378" s="220">
        <f t="shared" si="20"/>
        <v>0</v>
      </c>
      <c r="BA378" s="220">
        <f t="shared" si="21"/>
        <v>0</v>
      </c>
    </row>
    <row r="379" spans="1:53" ht="50.1" customHeight="1" x14ac:dyDescent="0.25">
      <c r="A379" s="17">
        <f t="shared" si="22"/>
        <v>365</v>
      </c>
      <c r="B379" s="228"/>
      <c r="C379" s="221"/>
      <c r="D379" s="88"/>
      <c r="E379" s="100"/>
      <c r="F379" s="95"/>
      <c r="G379" s="114"/>
      <c r="H379" s="96"/>
      <c r="I379" s="97"/>
      <c r="J379" s="98"/>
      <c r="K379" s="101"/>
      <c r="L379" s="124"/>
      <c r="M379" s="333"/>
      <c r="N379" s="341"/>
      <c r="O379" s="190"/>
      <c r="P379" s="191"/>
      <c r="Q379" s="190"/>
      <c r="R379" s="191"/>
      <c r="S379" s="294"/>
      <c r="T379" s="300"/>
      <c r="U379" s="306"/>
      <c r="V379" s="308"/>
      <c r="W379" s="248"/>
      <c r="X379" s="342"/>
      <c r="Y379" s="337"/>
      <c r="Z379" s="123"/>
      <c r="AA379" s="83"/>
      <c r="AB379" s="123"/>
      <c r="AC379" s="83"/>
      <c r="AD379" s="123"/>
      <c r="AE379" s="83"/>
      <c r="AF379" s="123"/>
      <c r="AG379" s="243"/>
      <c r="AH379" s="33"/>
      <c r="AI379" s="245"/>
      <c r="AJ379" s="125"/>
      <c r="AK379" s="92"/>
      <c r="AL379" s="126"/>
      <c r="AM379" s="91"/>
      <c r="AN379" s="91"/>
      <c r="AO379" s="197">
        <f t="shared" si="23"/>
        <v>0</v>
      </c>
      <c r="AP379" s="126"/>
      <c r="AQ379" s="217"/>
      <c r="AR379" s="201"/>
      <c r="AS379" s="266"/>
      <c r="AT379" s="94"/>
      <c r="AU379" s="84"/>
      <c r="AV379" s="80"/>
      <c r="AW379" s="81"/>
      <c r="AX379" s="77"/>
      <c r="AY379" s="107"/>
      <c r="AZ379" s="220">
        <f t="shared" si="20"/>
        <v>0</v>
      </c>
      <c r="BA379" s="220">
        <f t="shared" si="21"/>
        <v>0</v>
      </c>
    </row>
    <row r="380" spans="1:53" ht="50.1" customHeight="1" x14ac:dyDescent="0.25">
      <c r="A380" s="17">
        <f t="shared" si="22"/>
        <v>366</v>
      </c>
      <c r="B380" s="229"/>
      <c r="C380" s="222"/>
      <c r="D380" s="112"/>
      <c r="E380" s="128"/>
      <c r="F380" s="183"/>
      <c r="G380" s="130"/>
      <c r="H380" s="131"/>
      <c r="I380" s="132"/>
      <c r="J380" s="189"/>
      <c r="K380" s="133"/>
      <c r="L380" s="134"/>
      <c r="M380" s="334"/>
      <c r="N380" s="343"/>
      <c r="O380" s="193"/>
      <c r="P380" s="191"/>
      <c r="Q380" s="193"/>
      <c r="R380" s="191"/>
      <c r="S380" s="296"/>
      <c r="T380" s="302"/>
      <c r="U380" s="306"/>
      <c r="V380" s="308"/>
      <c r="W380" s="249"/>
      <c r="X380" s="344"/>
      <c r="Y380" s="337"/>
      <c r="Z380" s="33"/>
      <c r="AA380" s="83"/>
      <c r="AB380" s="33"/>
      <c r="AC380" s="83"/>
      <c r="AD380" s="33"/>
      <c r="AE380" s="83"/>
      <c r="AF380" s="33"/>
      <c r="AG380" s="244"/>
      <c r="AH380" s="83"/>
      <c r="AI380" s="246"/>
      <c r="AJ380" s="102"/>
      <c r="AK380" s="92"/>
      <c r="AL380" s="91"/>
      <c r="AM380" s="92"/>
      <c r="AN380" s="351"/>
      <c r="AO380" s="197">
        <f t="shared" si="23"/>
        <v>0</v>
      </c>
      <c r="AP380" s="91"/>
      <c r="AQ380" s="217"/>
      <c r="AR380" s="103"/>
      <c r="AS380" s="264"/>
      <c r="AT380" s="94"/>
      <c r="AU380" s="84"/>
      <c r="AV380" s="136"/>
      <c r="AW380" s="81"/>
      <c r="AX380" s="137"/>
      <c r="AY380" s="138"/>
      <c r="AZ380" s="220">
        <f t="shared" si="20"/>
        <v>0</v>
      </c>
      <c r="BA380" s="220">
        <f t="shared" si="21"/>
        <v>0</v>
      </c>
    </row>
    <row r="381" spans="1:53" ht="50.1" customHeight="1" x14ac:dyDescent="0.25">
      <c r="A381" s="17">
        <f t="shared" si="22"/>
        <v>367</v>
      </c>
      <c r="B381" s="228"/>
      <c r="C381" s="221"/>
      <c r="D381" s="88"/>
      <c r="E381" s="100"/>
      <c r="F381" s="95"/>
      <c r="G381" s="114"/>
      <c r="H381" s="96"/>
      <c r="I381" s="97"/>
      <c r="J381" s="98"/>
      <c r="K381" s="101"/>
      <c r="L381" s="124"/>
      <c r="M381" s="333"/>
      <c r="N381" s="341"/>
      <c r="O381" s="190"/>
      <c r="P381" s="191"/>
      <c r="Q381" s="190"/>
      <c r="R381" s="191"/>
      <c r="S381" s="294"/>
      <c r="T381" s="300"/>
      <c r="U381" s="306"/>
      <c r="V381" s="308"/>
      <c r="W381" s="248"/>
      <c r="X381" s="342"/>
      <c r="Y381" s="337"/>
      <c r="Z381" s="123"/>
      <c r="AA381" s="83"/>
      <c r="AB381" s="123"/>
      <c r="AC381" s="83"/>
      <c r="AD381" s="123"/>
      <c r="AE381" s="83"/>
      <c r="AF381" s="123"/>
      <c r="AG381" s="243"/>
      <c r="AH381" s="33"/>
      <c r="AI381" s="245"/>
      <c r="AJ381" s="125"/>
      <c r="AK381" s="92"/>
      <c r="AL381" s="126"/>
      <c r="AM381" s="91"/>
      <c r="AN381" s="91"/>
      <c r="AO381" s="197">
        <f t="shared" si="23"/>
        <v>0</v>
      </c>
      <c r="AP381" s="126"/>
      <c r="AQ381" s="217"/>
      <c r="AR381" s="201"/>
      <c r="AS381" s="266"/>
      <c r="AT381" s="94"/>
      <c r="AU381" s="84"/>
      <c r="AV381" s="80"/>
      <c r="AW381" s="81"/>
      <c r="AX381" s="77"/>
      <c r="AY381" s="107"/>
      <c r="AZ381" s="220">
        <f t="shared" si="20"/>
        <v>0</v>
      </c>
      <c r="BA381" s="220">
        <f t="shared" si="21"/>
        <v>0</v>
      </c>
    </row>
    <row r="382" spans="1:53" ht="50.1" customHeight="1" x14ac:dyDescent="0.25">
      <c r="A382" s="17">
        <f t="shared" si="22"/>
        <v>368</v>
      </c>
      <c r="B382" s="229"/>
      <c r="C382" s="222"/>
      <c r="D382" s="112"/>
      <c r="E382" s="128"/>
      <c r="F382" s="183"/>
      <c r="G382" s="130"/>
      <c r="H382" s="131"/>
      <c r="I382" s="132"/>
      <c r="J382" s="189"/>
      <c r="K382" s="133"/>
      <c r="L382" s="134"/>
      <c r="M382" s="334"/>
      <c r="N382" s="343"/>
      <c r="O382" s="193"/>
      <c r="P382" s="191"/>
      <c r="Q382" s="193"/>
      <c r="R382" s="191"/>
      <c r="S382" s="296"/>
      <c r="T382" s="302"/>
      <c r="U382" s="306"/>
      <c r="V382" s="308"/>
      <c r="W382" s="249"/>
      <c r="X382" s="344"/>
      <c r="Y382" s="337"/>
      <c r="Z382" s="33"/>
      <c r="AA382" s="83"/>
      <c r="AB382" s="33"/>
      <c r="AC382" s="83"/>
      <c r="AD382" s="33"/>
      <c r="AE382" s="83"/>
      <c r="AF382" s="33"/>
      <c r="AG382" s="244"/>
      <c r="AH382" s="83"/>
      <c r="AI382" s="246"/>
      <c r="AJ382" s="102"/>
      <c r="AK382" s="92"/>
      <c r="AL382" s="91"/>
      <c r="AM382" s="92"/>
      <c r="AN382" s="351"/>
      <c r="AO382" s="197">
        <f t="shared" si="23"/>
        <v>0</v>
      </c>
      <c r="AP382" s="91"/>
      <c r="AQ382" s="217"/>
      <c r="AR382" s="103"/>
      <c r="AS382" s="264"/>
      <c r="AT382" s="94"/>
      <c r="AU382" s="84"/>
      <c r="AV382" s="136"/>
      <c r="AW382" s="81"/>
      <c r="AX382" s="137"/>
      <c r="AY382" s="138"/>
      <c r="AZ382" s="220">
        <f t="shared" si="20"/>
        <v>0</v>
      </c>
      <c r="BA382" s="220">
        <f t="shared" si="21"/>
        <v>0</v>
      </c>
    </row>
    <row r="383" spans="1:53" ht="50.1" customHeight="1" x14ac:dyDescent="0.25">
      <c r="A383" s="17">
        <f t="shared" si="22"/>
        <v>369</v>
      </c>
      <c r="B383" s="228"/>
      <c r="C383" s="221"/>
      <c r="D383" s="88"/>
      <c r="E383" s="100"/>
      <c r="F383" s="95"/>
      <c r="G383" s="114"/>
      <c r="H383" s="96"/>
      <c r="I383" s="97"/>
      <c r="J383" s="98"/>
      <c r="K383" s="101"/>
      <c r="L383" s="124"/>
      <c r="M383" s="333"/>
      <c r="N383" s="341"/>
      <c r="O383" s="190"/>
      <c r="P383" s="191"/>
      <c r="Q383" s="190"/>
      <c r="R383" s="191"/>
      <c r="S383" s="294"/>
      <c r="T383" s="300"/>
      <c r="U383" s="306"/>
      <c r="V383" s="308"/>
      <c r="W383" s="248"/>
      <c r="X383" s="342"/>
      <c r="Y383" s="337"/>
      <c r="Z383" s="123"/>
      <c r="AA383" s="83"/>
      <c r="AB383" s="123"/>
      <c r="AC383" s="83"/>
      <c r="AD383" s="123"/>
      <c r="AE383" s="83"/>
      <c r="AF383" s="123"/>
      <c r="AG383" s="243"/>
      <c r="AH383" s="33"/>
      <c r="AI383" s="245"/>
      <c r="AJ383" s="125"/>
      <c r="AK383" s="92"/>
      <c r="AL383" s="126"/>
      <c r="AM383" s="91"/>
      <c r="AN383" s="91"/>
      <c r="AO383" s="197">
        <f t="shared" si="23"/>
        <v>0</v>
      </c>
      <c r="AP383" s="126"/>
      <c r="AQ383" s="217"/>
      <c r="AR383" s="201"/>
      <c r="AS383" s="266"/>
      <c r="AT383" s="94"/>
      <c r="AU383" s="84"/>
      <c r="AV383" s="80"/>
      <c r="AW383" s="81"/>
      <c r="AX383" s="77"/>
      <c r="AY383" s="107"/>
      <c r="AZ383" s="220">
        <f t="shared" si="20"/>
        <v>0</v>
      </c>
      <c r="BA383" s="220">
        <f t="shared" si="21"/>
        <v>0</v>
      </c>
    </row>
    <row r="384" spans="1:53" ht="50.1" customHeight="1" x14ac:dyDescent="0.25">
      <c r="A384" s="17">
        <f t="shared" si="22"/>
        <v>370</v>
      </c>
      <c r="B384" s="229"/>
      <c r="C384" s="222"/>
      <c r="D384" s="112"/>
      <c r="E384" s="128"/>
      <c r="F384" s="183"/>
      <c r="G384" s="130"/>
      <c r="H384" s="131"/>
      <c r="I384" s="132"/>
      <c r="J384" s="189"/>
      <c r="K384" s="133"/>
      <c r="L384" s="134"/>
      <c r="M384" s="334"/>
      <c r="N384" s="343"/>
      <c r="O384" s="193"/>
      <c r="P384" s="191"/>
      <c r="Q384" s="193"/>
      <c r="R384" s="191"/>
      <c r="S384" s="296"/>
      <c r="T384" s="302"/>
      <c r="U384" s="306"/>
      <c r="V384" s="308"/>
      <c r="W384" s="249"/>
      <c r="X384" s="344"/>
      <c r="Y384" s="337"/>
      <c r="Z384" s="33"/>
      <c r="AA384" s="83"/>
      <c r="AB384" s="33"/>
      <c r="AC384" s="83"/>
      <c r="AD384" s="33"/>
      <c r="AE384" s="83"/>
      <c r="AF384" s="33"/>
      <c r="AG384" s="244"/>
      <c r="AH384" s="83"/>
      <c r="AI384" s="246"/>
      <c r="AJ384" s="102"/>
      <c r="AK384" s="92"/>
      <c r="AL384" s="91"/>
      <c r="AM384" s="92"/>
      <c r="AN384" s="351"/>
      <c r="AO384" s="197">
        <f t="shared" si="23"/>
        <v>0</v>
      </c>
      <c r="AP384" s="91"/>
      <c r="AQ384" s="217"/>
      <c r="AR384" s="103"/>
      <c r="AS384" s="264"/>
      <c r="AT384" s="94"/>
      <c r="AU384" s="84"/>
      <c r="AV384" s="136"/>
      <c r="AW384" s="81"/>
      <c r="AX384" s="137"/>
      <c r="AY384" s="138"/>
      <c r="AZ384" s="220">
        <f t="shared" si="20"/>
        <v>0</v>
      </c>
      <c r="BA384" s="220">
        <f t="shared" si="21"/>
        <v>0</v>
      </c>
    </row>
    <row r="385" spans="1:53" ht="50.1" customHeight="1" x14ac:dyDescent="0.25">
      <c r="A385" s="17">
        <f t="shared" si="22"/>
        <v>371</v>
      </c>
      <c r="B385" s="228"/>
      <c r="C385" s="221"/>
      <c r="D385" s="88"/>
      <c r="E385" s="100"/>
      <c r="F385" s="95"/>
      <c r="G385" s="114"/>
      <c r="H385" s="96"/>
      <c r="I385" s="97"/>
      <c r="J385" s="98"/>
      <c r="K385" s="101"/>
      <c r="L385" s="124"/>
      <c r="M385" s="333"/>
      <c r="N385" s="341"/>
      <c r="O385" s="190"/>
      <c r="P385" s="191"/>
      <c r="Q385" s="190"/>
      <c r="R385" s="191"/>
      <c r="S385" s="294"/>
      <c r="T385" s="300"/>
      <c r="U385" s="306"/>
      <c r="V385" s="308"/>
      <c r="W385" s="248"/>
      <c r="X385" s="342"/>
      <c r="Y385" s="337"/>
      <c r="Z385" s="123"/>
      <c r="AA385" s="83"/>
      <c r="AB385" s="123"/>
      <c r="AC385" s="83"/>
      <c r="AD385" s="123"/>
      <c r="AE385" s="83"/>
      <c r="AF385" s="123"/>
      <c r="AG385" s="243"/>
      <c r="AH385" s="33"/>
      <c r="AI385" s="245"/>
      <c r="AJ385" s="125"/>
      <c r="AK385" s="92"/>
      <c r="AL385" s="126"/>
      <c r="AM385" s="91"/>
      <c r="AN385" s="91"/>
      <c r="AO385" s="197">
        <f t="shared" si="23"/>
        <v>0</v>
      </c>
      <c r="AP385" s="126"/>
      <c r="AQ385" s="217"/>
      <c r="AR385" s="201"/>
      <c r="AS385" s="266"/>
      <c r="AT385" s="94"/>
      <c r="AU385" s="84"/>
      <c r="AV385" s="80"/>
      <c r="AW385" s="81"/>
      <c r="AX385" s="77"/>
      <c r="AY385" s="107"/>
      <c r="AZ385" s="220">
        <f t="shared" si="20"/>
        <v>0</v>
      </c>
      <c r="BA385" s="220">
        <f t="shared" si="21"/>
        <v>0</v>
      </c>
    </row>
    <row r="386" spans="1:53" ht="50.1" customHeight="1" x14ac:dyDescent="0.25">
      <c r="A386" s="17">
        <f t="shared" si="22"/>
        <v>372</v>
      </c>
      <c r="B386" s="229"/>
      <c r="C386" s="222"/>
      <c r="D386" s="112"/>
      <c r="E386" s="128"/>
      <c r="F386" s="183"/>
      <c r="G386" s="130"/>
      <c r="H386" s="131"/>
      <c r="I386" s="132"/>
      <c r="J386" s="189"/>
      <c r="K386" s="133"/>
      <c r="L386" s="134"/>
      <c r="M386" s="334"/>
      <c r="N386" s="343"/>
      <c r="O386" s="193"/>
      <c r="P386" s="191"/>
      <c r="Q386" s="193"/>
      <c r="R386" s="191"/>
      <c r="S386" s="296"/>
      <c r="T386" s="302"/>
      <c r="U386" s="306"/>
      <c r="V386" s="308"/>
      <c r="W386" s="249"/>
      <c r="X386" s="344"/>
      <c r="Y386" s="337"/>
      <c r="Z386" s="33"/>
      <c r="AA386" s="83"/>
      <c r="AB386" s="33"/>
      <c r="AC386" s="83"/>
      <c r="AD386" s="33"/>
      <c r="AE386" s="83"/>
      <c r="AF386" s="33"/>
      <c r="AG386" s="244"/>
      <c r="AH386" s="83"/>
      <c r="AI386" s="246"/>
      <c r="AJ386" s="102"/>
      <c r="AK386" s="92"/>
      <c r="AL386" s="91"/>
      <c r="AM386" s="92"/>
      <c r="AN386" s="351"/>
      <c r="AO386" s="197">
        <f t="shared" si="23"/>
        <v>0</v>
      </c>
      <c r="AP386" s="91"/>
      <c r="AQ386" s="217"/>
      <c r="AR386" s="103"/>
      <c r="AS386" s="264"/>
      <c r="AT386" s="94"/>
      <c r="AU386" s="84"/>
      <c r="AV386" s="136"/>
      <c r="AW386" s="81"/>
      <c r="AX386" s="137"/>
      <c r="AY386" s="138"/>
      <c r="AZ386" s="220">
        <f t="shared" si="20"/>
        <v>0</v>
      </c>
      <c r="BA386" s="220">
        <f t="shared" si="21"/>
        <v>0</v>
      </c>
    </row>
    <row r="387" spans="1:53" ht="50.1" customHeight="1" x14ac:dyDescent="0.25">
      <c r="A387" s="17">
        <f t="shared" si="22"/>
        <v>373</v>
      </c>
      <c r="B387" s="228"/>
      <c r="C387" s="221"/>
      <c r="D387" s="88"/>
      <c r="E387" s="100"/>
      <c r="F387" s="95"/>
      <c r="G387" s="114"/>
      <c r="H387" s="96"/>
      <c r="I387" s="97"/>
      <c r="J387" s="98"/>
      <c r="K387" s="101"/>
      <c r="L387" s="124"/>
      <c r="M387" s="333"/>
      <c r="N387" s="341"/>
      <c r="O387" s="190"/>
      <c r="P387" s="191"/>
      <c r="Q387" s="190"/>
      <c r="R387" s="191"/>
      <c r="S387" s="294"/>
      <c r="T387" s="300"/>
      <c r="U387" s="306"/>
      <c r="V387" s="308"/>
      <c r="W387" s="248"/>
      <c r="X387" s="342"/>
      <c r="Y387" s="337"/>
      <c r="Z387" s="123"/>
      <c r="AA387" s="83"/>
      <c r="AB387" s="123"/>
      <c r="AC387" s="83"/>
      <c r="AD387" s="123"/>
      <c r="AE387" s="83"/>
      <c r="AF387" s="123"/>
      <c r="AG387" s="243"/>
      <c r="AH387" s="33"/>
      <c r="AI387" s="245"/>
      <c r="AJ387" s="125"/>
      <c r="AK387" s="92"/>
      <c r="AL387" s="126"/>
      <c r="AM387" s="91"/>
      <c r="AN387" s="91"/>
      <c r="AO387" s="197">
        <f t="shared" si="23"/>
        <v>0</v>
      </c>
      <c r="AP387" s="126"/>
      <c r="AQ387" s="217"/>
      <c r="AR387" s="200"/>
      <c r="AS387" s="263"/>
      <c r="AT387" s="94"/>
      <c r="AU387" s="84"/>
      <c r="AV387" s="80"/>
      <c r="AW387" s="81"/>
      <c r="AX387" s="77"/>
      <c r="AY387" s="107"/>
      <c r="AZ387" s="220">
        <f t="shared" si="20"/>
        <v>0</v>
      </c>
      <c r="BA387" s="220">
        <f t="shared" si="21"/>
        <v>0</v>
      </c>
    </row>
    <row r="388" spans="1:53" ht="50.1" customHeight="1" x14ac:dyDescent="0.25">
      <c r="A388" s="17">
        <f t="shared" si="22"/>
        <v>374</v>
      </c>
      <c r="B388" s="229"/>
      <c r="C388" s="222"/>
      <c r="D388" s="112"/>
      <c r="E388" s="128"/>
      <c r="F388" s="183"/>
      <c r="G388" s="130"/>
      <c r="H388" s="131"/>
      <c r="I388" s="132"/>
      <c r="J388" s="189"/>
      <c r="K388" s="133"/>
      <c r="L388" s="134"/>
      <c r="M388" s="334"/>
      <c r="N388" s="343"/>
      <c r="O388" s="193"/>
      <c r="P388" s="191"/>
      <c r="Q388" s="193"/>
      <c r="R388" s="191"/>
      <c r="S388" s="296"/>
      <c r="T388" s="302"/>
      <c r="U388" s="306"/>
      <c r="V388" s="308"/>
      <c r="W388" s="249"/>
      <c r="X388" s="344"/>
      <c r="Y388" s="337"/>
      <c r="Z388" s="33"/>
      <c r="AA388" s="83"/>
      <c r="AB388" s="33"/>
      <c r="AC388" s="83"/>
      <c r="AD388" s="33"/>
      <c r="AE388" s="83"/>
      <c r="AF388" s="33"/>
      <c r="AG388" s="244"/>
      <c r="AH388" s="83"/>
      <c r="AI388" s="246"/>
      <c r="AJ388" s="102"/>
      <c r="AK388" s="92"/>
      <c r="AL388" s="91"/>
      <c r="AM388" s="92"/>
      <c r="AN388" s="351"/>
      <c r="AO388" s="197">
        <f t="shared" si="23"/>
        <v>0</v>
      </c>
      <c r="AP388" s="91"/>
      <c r="AQ388" s="217"/>
      <c r="AR388" s="103"/>
      <c r="AS388" s="264"/>
      <c r="AT388" s="94"/>
      <c r="AU388" s="84"/>
      <c r="AV388" s="136"/>
      <c r="AW388" s="81"/>
      <c r="AX388" s="137"/>
      <c r="AY388" s="138"/>
      <c r="AZ388" s="220">
        <f t="shared" si="20"/>
        <v>0</v>
      </c>
      <c r="BA388" s="220">
        <f t="shared" si="21"/>
        <v>0</v>
      </c>
    </row>
    <row r="389" spans="1:53" ht="50.1" customHeight="1" x14ac:dyDescent="0.25">
      <c r="A389" s="17">
        <f t="shared" si="22"/>
        <v>375</v>
      </c>
      <c r="B389" s="228"/>
      <c r="C389" s="221"/>
      <c r="D389" s="88"/>
      <c r="E389" s="100"/>
      <c r="F389" s="95"/>
      <c r="G389" s="114"/>
      <c r="H389" s="96"/>
      <c r="I389" s="97"/>
      <c r="J389" s="98"/>
      <c r="K389" s="101"/>
      <c r="L389" s="124"/>
      <c r="M389" s="333"/>
      <c r="N389" s="341"/>
      <c r="O389" s="190"/>
      <c r="P389" s="191"/>
      <c r="Q389" s="190"/>
      <c r="R389" s="191"/>
      <c r="S389" s="294"/>
      <c r="T389" s="300"/>
      <c r="U389" s="306"/>
      <c r="V389" s="308"/>
      <c r="W389" s="248"/>
      <c r="X389" s="342"/>
      <c r="Y389" s="337"/>
      <c r="Z389" s="123"/>
      <c r="AA389" s="83"/>
      <c r="AB389" s="123"/>
      <c r="AC389" s="83"/>
      <c r="AD389" s="123"/>
      <c r="AE389" s="83"/>
      <c r="AF389" s="123"/>
      <c r="AG389" s="243"/>
      <c r="AH389" s="33"/>
      <c r="AI389" s="245"/>
      <c r="AJ389" s="125"/>
      <c r="AK389" s="92"/>
      <c r="AL389" s="126"/>
      <c r="AM389" s="91"/>
      <c r="AN389" s="91"/>
      <c r="AO389" s="197">
        <f t="shared" si="23"/>
        <v>0</v>
      </c>
      <c r="AP389" s="126"/>
      <c r="AQ389" s="217"/>
      <c r="AR389" s="201"/>
      <c r="AS389" s="266"/>
      <c r="AT389" s="94"/>
      <c r="AU389" s="84"/>
      <c r="AV389" s="80"/>
      <c r="AW389" s="81"/>
      <c r="AX389" s="77"/>
      <c r="AY389" s="107"/>
      <c r="AZ389" s="220">
        <f t="shared" si="20"/>
        <v>0</v>
      </c>
      <c r="BA389" s="220">
        <f t="shared" si="21"/>
        <v>0</v>
      </c>
    </row>
    <row r="390" spans="1:53" ht="50.1" customHeight="1" x14ac:dyDescent="0.25">
      <c r="A390" s="17">
        <f t="shared" si="22"/>
        <v>376</v>
      </c>
      <c r="B390" s="229"/>
      <c r="C390" s="222"/>
      <c r="D390" s="112"/>
      <c r="E390" s="128"/>
      <c r="F390" s="183"/>
      <c r="G390" s="130"/>
      <c r="H390" s="131"/>
      <c r="I390" s="132"/>
      <c r="J390" s="189"/>
      <c r="K390" s="133"/>
      <c r="L390" s="134"/>
      <c r="M390" s="334"/>
      <c r="N390" s="343"/>
      <c r="O390" s="193"/>
      <c r="P390" s="191"/>
      <c r="Q390" s="193"/>
      <c r="R390" s="191"/>
      <c r="S390" s="296"/>
      <c r="T390" s="302"/>
      <c r="U390" s="306"/>
      <c r="V390" s="308"/>
      <c r="W390" s="249"/>
      <c r="X390" s="344"/>
      <c r="Y390" s="337"/>
      <c r="Z390" s="33"/>
      <c r="AA390" s="83"/>
      <c r="AB390" s="33"/>
      <c r="AC390" s="83"/>
      <c r="AD390" s="33"/>
      <c r="AE390" s="83"/>
      <c r="AF390" s="33"/>
      <c r="AG390" s="244"/>
      <c r="AH390" s="83"/>
      <c r="AI390" s="246"/>
      <c r="AJ390" s="195"/>
      <c r="AK390" s="92"/>
      <c r="AL390" s="91"/>
      <c r="AM390" s="92"/>
      <c r="AN390" s="351"/>
      <c r="AO390" s="197">
        <f t="shared" si="23"/>
        <v>0</v>
      </c>
      <c r="AP390" s="91"/>
      <c r="AQ390" s="217"/>
      <c r="AR390" s="196"/>
      <c r="AS390" s="265"/>
      <c r="AT390" s="94"/>
      <c r="AU390" s="84"/>
      <c r="AV390" s="136"/>
      <c r="AW390" s="81"/>
      <c r="AX390" s="137"/>
      <c r="AY390" s="138"/>
      <c r="AZ390" s="220">
        <f t="shared" si="20"/>
        <v>0</v>
      </c>
      <c r="BA390" s="220">
        <f t="shared" si="21"/>
        <v>0</v>
      </c>
    </row>
    <row r="391" spans="1:53" ht="50.1" customHeight="1" x14ac:dyDescent="0.25">
      <c r="A391" s="17">
        <f t="shared" si="22"/>
        <v>377</v>
      </c>
      <c r="B391" s="228"/>
      <c r="C391" s="221"/>
      <c r="D391" s="88"/>
      <c r="E391" s="100"/>
      <c r="F391" s="95"/>
      <c r="G391" s="114"/>
      <c r="H391" s="96"/>
      <c r="I391" s="97"/>
      <c r="J391" s="98"/>
      <c r="K391" s="101"/>
      <c r="L391" s="124"/>
      <c r="M391" s="333"/>
      <c r="N391" s="341"/>
      <c r="O391" s="190"/>
      <c r="P391" s="191"/>
      <c r="Q391" s="190"/>
      <c r="R391" s="191"/>
      <c r="S391" s="294"/>
      <c r="T391" s="300"/>
      <c r="U391" s="306"/>
      <c r="V391" s="308"/>
      <c r="W391" s="248"/>
      <c r="X391" s="342"/>
      <c r="Y391" s="337"/>
      <c r="Z391" s="123"/>
      <c r="AA391" s="83"/>
      <c r="AB391" s="123"/>
      <c r="AC391" s="83"/>
      <c r="AD391" s="123"/>
      <c r="AE391" s="83"/>
      <c r="AF391" s="123"/>
      <c r="AG391" s="243"/>
      <c r="AH391" s="33"/>
      <c r="AI391" s="245"/>
      <c r="AJ391" s="198"/>
      <c r="AK391" s="92"/>
      <c r="AL391" s="126"/>
      <c r="AM391" s="91"/>
      <c r="AN391" s="91"/>
      <c r="AO391" s="197">
        <f t="shared" si="23"/>
        <v>0</v>
      </c>
      <c r="AP391" s="126"/>
      <c r="AQ391" s="217"/>
      <c r="AR391" s="201"/>
      <c r="AS391" s="266"/>
      <c r="AT391" s="94"/>
      <c r="AU391" s="84"/>
      <c r="AV391" s="80"/>
      <c r="AW391" s="81"/>
      <c r="AX391" s="77"/>
      <c r="AY391" s="107"/>
      <c r="AZ391" s="220">
        <f t="shared" si="20"/>
        <v>0</v>
      </c>
      <c r="BA391" s="220">
        <f t="shared" si="21"/>
        <v>0</v>
      </c>
    </row>
    <row r="392" spans="1:53" ht="50.1" customHeight="1" x14ac:dyDescent="0.25">
      <c r="A392" s="17">
        <f t="shared" si="22"/>
        <v>378</v>
      </c>
      <c r="B392" s="229"/>
      <c r="C392" s="222"/>
      <c r="D392" s="112"/>
      <c r="E392" s="128"/>
      <c r="F392" s="183"/>
      <c r="G392" s="130"/>
      <c r="H392" s="131"/>
      <c r="I392" s="132"/>
      <c r="J392" s="189"/>
      <c r="K392" s="133"/>
      <c r="L392" s="134"/>
      <c r="M392" s="334"/>
      <c r="N392" s="343"/>
      <c r="O392" s="193"/>
      <c r="P392" s="191"/>
      <c r="Q392" s="193"/>
      <c r="R392" s="191"/>
      <c r="S392" s="296"/>
      <c r="T392" s="302"/>
      <c r="U392" s="306"/>
      <c r="V392" s="308"/>
      <c r="W392" s="249"/>
      <c r="X392" s="344"/>
      <c r="Y392" s="337"/>
      <c r="Z392" s="33"/>
      <c r="AA392" s="83"/>
      <c r="AB392" s="33"/>
      <c r="AC392" s="83"/>
      <c r="AD392" s="33"/>
      <c r="AE392" s="83"/>
      <c r="AF392" s="33"/>
      <c r="AG392" s="244"/>
      <c r="AH392" s="83"/>
      <c r="AI392" s="246"/>
      <c r="AJ392" s="102"/>
      <c r="AK392" s="92"/>
      <c r="AL392" s="91"/>
      <c r="AM392" s="92"/>
      <c r="AN392" s="351"/>
      <c r="AO392" s="197">
        <f t="shared" si="23"/>
        <v>0</v>
      </c>
      <c r="AP392" s="91"/>
      <c r="AQ392" s="217"/>
      <c r="AR392" s="196"/>
      <c r="AS392" s="265"/>
      <c r="AT392" s="94"/>
      <c r="AU392" s="84"/>
      <c r="AV392" s="136"/>
      <c r="AW392" s="81"/>
      <c r="AX392" s="137"/>
      <c r="AY392" s="138"/>
      <c r="AZ392" s="220">
        <f t="shared" si="20"/>
        <v>0</v>
      </c>
      <c r="BA392" s="220">
        <f t="shared" si="21"/>
        <v>0</v>
      </c>
    </row>
    <row r="393" spans="1:53" ht="50.1" customHeight="1" x14ac:dyDescent="0.25">
      <c r="A393" s="17">
        <f t="shared" si="22"/>
        <v>379</v>
      </c>
      <c r="B393" s="228"/>
      <c r="C393" s="221"/>
      <c r="D393" s="88"/>
      <c r="E393" s="100"/>
      <c r="F393" s="95"/>
      <c r="G393" s="114"/>
      <c r="H393" s="96"/>
      <c r="I393" s="97"/>
      <c r="J393" s="98"/>
      <c r="K393" s="101"/>
      <c r="L393" s="124"/>
      <c r="M393" s="333"/>
      <c r="N393" s="341"/>
      <c r="O393" s="190"/>
      <c r="P393" s="191"/>
      <c r="Q393" s="190"/>
      <c r="R393" s="191"/>
      <c r="S393" s="294"/>
      <c r="T393" s="300"/>
      <c r="U393" s="306"/>
      <c r="V393" s="308"/>
      <c r="W393" s="248"/>
      <c r="X393" s="342"/>
      <c r="Y393" s="337"/>
      <c r="Z393" s="123"/>
      <c r="AA393" s="83"/>
      <c r="AB393" s="123"/>
      <c r="AC393" s="83"/>
      <c r="AD393" s="123"/>
      <c r="AE393" s="83"/>
      <c r="AF393" s="123"/>
      <c r="AG393" s="243"/>
      <c r="AH393" s="33"/>
      <c r="AI393" s="245"/>
      <c r="AJ393" s="125"/>
      <c r="AK393" s="92"/>
      <c r="AL393" s="126"/>
      <c r="AM393" s="91"/>
      <c r="AN393" s="91"/>
      <c r="AO393" s="197">
        <f t="shared" si="23"/>
        <v>0</v>
      </c>
      <c r="AP393" s="126"/>
      <c r="AQ393" s="217"/>
      <c r="AR393" s="201"/>
      <c r="AS393" s="266"/>
      <c r="AT393" s="94"/>
      <c r="AU393" s="84"/>
      <c r="AV393" s="80"/>
      <c r="AW393" s="81"/>
      <c r="AX393" s="77"/>
      <c r="AY393" s="107"/>
      <c r="AZ393" s="220">
        <f t="shared" si="20"/>
        <v>0</v>
      </c>
      <c r="BA393" s="220">
        <f t="shared" si="21"/>
        <v>0</v>
      </c>
    </row>
    <row r="394" spans="1:53" ht="50.1" customHeight="1" x14ac:dyDescent="0.25">
      <c r="A394" s="17">
        <f t="shared" si="22"/>
        <v>380</v>
      </c>
      <c r="B394" s="229"/>
      <c r="C394" s="222"/>
      <c r="D394" s="112"/>
      <c r="E394" s="128"/>
      <c r="F394" s="183"/>
      <c r="G394" s="130"/>
      <c r="H394" s="131"/>
      <c r="I394" s="132"/>
      <c r="J394" s="189"/>
      <c r="K394" s="133"/>
      <c r="L394" s="134"/>
      <c r="M394" s="334"/>
      <c r="N394" s="343"/>
      <c r="O394" s="193"/>
      <c r="P394" s="191"/>
      <c r="Q394" s="193"/>
      <c r="R394" s="191"/>
      <c r="S394" s="296"/>
      <c r="T394" s="302"/>
      <c r="U394" s="306"/>
      <c r="V394" s="308"/>
      <c r="W394" s="249"/>
      <c r="X394" s="344"/>
      <c r="Y394" s="337"/>
      <c r="Z394" s="33"/>
      <c r="AA394" s="83"/>
      <c r="AB394" s="33"/>
      <c r="AC394" s="83"/>
      <c r="AD394" s="33"/>
      <c r="AE394" s="83"/>
      <c r="AF394" s="33"/>
      <c r="AG394" s="244"/>
      <c r="AH394" s="83"/>
      <c r="AI394" s="246"/>
      <c r="AJ394" s="102"/>
      <c r="AK394" s="92"/>
      <c r="AL394" s="91"/>
      <c r="AM394" s="92"/>
      <c r="AN394" s="351"/>
      <c r="AO394" s="197">
        <f t="shared" si="23"/>
        <v>0</v>
      </c>
      <c r="AP394" s="91"/>
      <c r="AQ394" s="217"/>
      <c r="AR394" s="196"/>
      <c r="AS394" s="265"/>
      <c r="AT394" s="94"/>
      <c r="AU394" s="84"/>
      <c r="AV394" s="136"/>
      <c r="AW394" s="81"/>
      <c r="AX394" s="137"/>
      <c r="AY394" s="138"/>
      <c r="AZ394" s="220">
        <f t="shared" si="20"/>
        <v>0</v>
      </c>
      <c r="BA394" s="220">
        <f t="shared" si="21"/>
        <v>0</v>
      </c>
    </row>
    <row r="395" spans="1:53" ht="50.1" customHeight="1" x14ac:dyDescent="0.25">
      <c r="A395" s="17">
        <f t="shared" si="22"/>
        <v>381</v>
      </c>
      <c r="B395" s="228"/>
      <c r="C395" s="221"/>
      <c r="D395" s="88"/>
      <c r="E395" s="100"/>
      <c r="F395" s="95"/>
      <c r="G395" s="114"/>
      <c r="H395" s="96"/>
      <c r="I395" s="97"/>
      <c r="J395" s="98"/>
      <c r="K395" s="101"/>
      <c r="L395" s="124"/>
      <c r="M395" s="333"/>
      <c r="N395" s="341"/>
      <c r="O395" s="190"/>
      <c r="P395" s="191"/>
      <c r="Q395" s="190"/>
      <c r="R395" s="191"/>
      <c r="S395" s="294"/>
      <c r="T395" s="300"/>
      <c r="U395" s="306"/>
      <c r="V395" s="308"/>
      <c r="W395" s="248"/>
      <c r="X395" s="342"/>
      <c r="Y395" s="337"/>
      <c r="Z395" s="123"/>
      <c r="AA395" s="83"/>
      <c r="AB395" s="123"/>
      <c r="AC395" s="83"/>
      <c r="AD395" s="123"/>
      <c r="AE395" s="83"/>
      <c r="AF395" s="123"/>
      <c r="AG395" s="243"/>
      <c r="AH395" s="33"/>
      <c r="AI395" s="245"/>
      <c r="AJ395" s="125"/>
      <c r="AK395" s="92"/>
      <c r="AL395" s="126"/>
      <c r="AM395" s="91"/>
      <c r="AN395" s="91"/>
      <c r="AO395" s="197">
        <f t="shared" si="23"/>
        <v>0</v>
      </c>
      <c r="AP395" s="126"/>
      <c r="AQ395" s="217"/>
      <c r="AR395" s="201"/>
      <c r="AS395" s="266"/>
      <c r="AT395" s="94"/>
      <c r="AU395" s="84"/>
      <c r="AV395" s="80"/>
      <c r="AW395" s="81"/>
      <c r="AX395" s="77"/>
      <c r="AY395" s="107"/>
      <c r="AZ395" s="220">
        <f t="shared" si="20"/>
        <v>0</v>
      </c>
      <c r="BA395" s="220">
        <f t="shared" si="21"/>
        <v>0</v>
      </c>
    </row>
    <row r="396" spans="1:53" ht="50.1" customHeight="1" x14ac:dyDescent="0.25">
      <c r="A396" s="17">
        <f t="shared" si="22"/>
        <v>382</v>
      </c>
      <c r="B396" s="229"/>
      <c r="C396" s="222"/>
      <c r="D396" s="112"/>
      <c r="E396" s="128"/>
      <c r="F396" s="183"/>
      <c r="G396" s="130"/>
      <c r="H396" s="131"/>
      <c r="I396" s="132"/>
      <c r="J396" s="189"/>
      <c r="K396" s="133"/>
      <c r="L396" s="134"/>
      <c r="M396" s="334"/>
      <c r="N396" s="343"/>
      <c r="O396" s="193"/>
      <c r="P396" s="191"/>
      <c r="Q396" s="193"/>
      <c r="R396" s="191"/>
      <c r="S396" s="296"/>
      <c r="T396" s="302"/>
      <c r="U396" s="306"/>
      <c r="V396" s="308"/>
      <c r="W396" s="249"/>
      <c r="X396" s="344"/>
      <c r="Y396" s="337"/>
      <c r="Z396" s="33"/>
      <c r="AA396" s="83"/>
      <c r="AB396" s="33"/>
      <c r="AC396" s="83"/>
      <c r="AD396" s="33"/>
      <c r="AE396" s="83"/>
      <c r="AF396" s="33"/>
      <c r="AG396" s="244"/>
      <c r="AH396" s="83"/>
      <c r="AI396" s="246"/>
      <c r="AJ396" s="102"/>
      <c r="AK396" s="92"/>
      <c r="AL396" s="91"/>
      <c r="AM396" s="92"/>
      <c r="AN396" s="351"/>
      <c r="AO396" s="197">
        <f t="shared" si="23"/>
        <v>0</v>
      </c>
      <c r="AP396" s="91"/>
      <c r="AQ396" s="217"/>
      <c r="AR396" s="196"/>
      <c r="AS396" s="265"/>
      <c r="AT396" s="94"/>
      <c r="AU396" s="84"/>
      <c r="AV396" s="136"/>
      <c r="AW396" s="81"/>
      <c r="AX396" s="137"/>
      <c r="AY396" s="138"/>
      <c r="AZ396" s="220">
        <f t="shared" si="20"/>
        <v>0</v>
      </c>
      <c r="BA396" s="220">
        <f t="shared" si="21"/>
        <v>0</v>
      </c>
    </row>
    <row r="397" spans="1:53" ht="50.1" customHeight="1" x14ac:dyDescent="0.25">
      <c r="A397" s="17">
        <f t="shared" si="22"/>
        <v>383</v>
      </c>
      <c r="B397" s="228"/>
      <c r="C397" s="221"/>
      <c r="D397" s="88"/>
      <c r="E397" s="100"/>
      <c r="F397" s="95"/>
      <c r="G397" s="114"/>
      <c r="H397" s="96"/>
      <c r="I397" s="97"/>
      <c r="J397" s="98"/>
      <c r="K397" s="101"/>
      <c r="L397" s="124"/>
      <c r="M397" s="333"/>
      <c r="N397" s="341"/>
      <c r="O397" s="190"/>
      <c r="P397" s="191"/>
      <c r="Q397" s="190"/>
      <c r="R397" s="191"/>
      <c r="S397" s="294"/>
      <c r="T397" s="300"/>
      <c r="U397" s="306"/>
      <c r="V397" s="308"/>
      <c r="W397" s="248"/>
      <c r="X397" s="342"/>
      <c r="Y397" s="337"/>
      <c r="Z397" s="123"/>
      <c r="AA397" s="83"/>
      <c r="AB397" s="123"/>
      <c r="AC397" s="83"/>
      <c r="AD397" s="123"/>
      <c r="AE397" s="83"/>
      <c r="AF397" s="123"/>
      <c r="AG397" s="243"/>
      <c r="AH397" s="33"/>
      <c r="AI397" s="245"/>
      <c r="AJ397" s="125"/>
      <c r="AK397" s="92"/>
      <c r="AL397" s="126"/>
      <c r="AM397" s="91"/>
      <c r="AN397" s="91"/>
      <c r="AO397" s="197">
        <f t="shared" si="23"/>
        <v>0</v>
      </c>
      <c r="AP397" s="126"/>
      <c r="AQ397" s="217"/>
      <c r="AR397" s="201"/>
      <c r="AS397" s="266"/>
      <c r="AT397" s="94"/>
      <c r="AU397" s="84"/>
      <c r="AV397" s="80"/>
      <c r="AW397" s="81"/>
      <c r="AX397" s="77"/>
      <c r="AY397" s="107"/>
      <c r="AZ397" s="220">
        <f t="shared" si="20"/>
        <v>0</v>
      </c>
      <c r="BA397" s="220">
        <f t="shared" si="21"/>
        <v>0</v>
      </c>
    </row>
    <row r="398" spans="1:53" ht="50.1" customHeight="1" x14ac:dyDescent="0.25">
      <c r="A398" s="17">
        <f t="shared" si="22"/>
        <v>384</v>
      </c>
      <c r="B398" s="229"/>
      <c r="C398" s="222"/>
      <c r="D398" s="112"/>
      <c r="E398" s="128"/>
      <c r="F398" s="183"/>
      <c r="G398" s="130"/>
      <c r="H398" s="131"/>
      <c r="I398" s="132"/>
      <c r="J398" s="189"/>
      <c r="K398" s="133"/>
      <c r="L398" s="134"/>
      <c r="M398" s="334"/>
      <c r="N398" s="343"/>
      <c r="O398" s="193"/>
      <c r="P398" s="191"/>
      <c r="Q398" s="193"/>
      <c r="R398" s="191"/>
      <c r="S398" s="296"/>
      <c r="T398" s="302"/>
      <c r="U398" s="306"/>
      <c r="V398" s="308"/>
      <c r="W398" s="249"/>
      <c r="X398" s="344"/>
      <c r="Y398" s="337"/>
      <c r="Z398" s="33"/>
      <c r="AA398" s="83"/>
      <c r="AB398" s="33"/>
      <c r="AC398" s="83"/>
      <c r="AD398" s="33"/>
      <c r="AE398" s="83"/>
      <c r="AF398" s="33"/>
      <c r="AG398" s="244"/>
      <c r="AH398" s="83"/>
      <c r="AI398" s="246"/>
      <c r="AJ398" s="102"/>
      <c r="AK398" s="92"/>
      <c r="AL398" s="91"/>
      <c r="AM398" s="92"/>
      <c r="AN398" s="351"/>
      <c r="AO398" s="197">
        <f t="shared" si="23"/>
        <v>0</v>
      </c>
      <c r="AP398" s="91"/>
      <c r="AQ398" s="217"/>
      <c r="AR398" s="196"/>
      <c r="AS398" s="265"/>
      <c r="AT398" s="94"/>
      <c r="AU398" s="84"/>
      <c r="AV398" s="136"/>
      <c r="AW398" s="81"/>
      <c r="AX398" s="137"/>
      <c r="AY398" s="138"/>
      <c r="AZ398" s="220">
        <f t="shared" si="20"/>
        <v>0</v>
      </c>
      <c r="BA398" s="220">
        <f t="shared" si="21"/>
        <v>0</v>
      </c>
    </row>
    <row r="399" spans="1:53" ht="50.1" customHeight="1" x14ac:dyDescent="0.25">
      <c r="A399" s="17">
        <f t="shared" si="22"/>
        <v>385</v>
      </c>
      <c r="B399" s="228"/>
      <c r="C399" s="221"/>
      <c r="D399" s="88"/>
      <c r="E399" s="100"/>
      <c r="F399" s="95"/>
      <c r="G399" s="114"/>
      <c r="H399" s="96"/>
      <c r="I399" s="97"/>
      <c r="J399" s="98"/>
      <c r="K399" s="101"/>
      <c r="L399" s="124"/>
      <c r="M399" s="333"/>
      <c r="N399" s="341"/>
      <c r="O399" s="190"/>
      <c r="P399" s="191"/>
      <c r="Q399" s="190"/>
      <c r="R399" s="191"/>
      <c r="S399" s="294"/>
      <c r="T399" s="300"/>
      <c r="U399" s="306"/>
      <c r="V399" s="308"/>
      <c r="W399" s="248"/>
      <c r="X399" s="342"/>
      <c r="Y399" s="337"/>
      <c r="Z399" s="123"/>
      <c r="AA399" s="83"/>
      <c r="AB399" s="123"/>
      <c r="AC399" s="83"/>
      <c r="AD399" s="123"/>
      <c r="AE399" s="83"/>
      <c r="AF399" s="123"/>
      <c r="AG399" s="243"/>
      <c r="AH399" s="33"/>
      <c r="AI399" s="245"/>
      <c r="AJ399" s="125"/>
      <c r="AK399" s="92"/>
      <c r="AL399" s="126"/>
      <c r="AM399" s="91"/>
      <c r="AN399" s="91"/>
      <c r="AO399" s="197">
        <f t="shared" si="23"/>
        <v>0</v>
      </c>
      <c r="AP399" s="126"/>
      <c r="AQ399" s="217"/>
      <c r="AR399" s="201"/>
      <c r="AS399" s="266"/>
      <c r="AT399" s="94"/>
      <c r="AU399" s="84"/>
      <c r="AV399" s="80"/>
      <c r="AW399" s="81"/>
      <c r="AX399" s="77"/>
      <c r="AY399" s="107"/>
      <c r="AZ399" s="220">
        <f t="shared" ref="AZ399:AZ462" si="24">M399-B399</f>
        <v>0</v>
      </c>
      <c r="BA399" s="220">
        <f t="shared" ref="BA399:BA462" si="25">AU399-M399</f>
        <v>0</v>
      </c>
    </row>
    <row r="400" spans="1:53" ht="50.1" customHeight="1" x14ac:dyDescent="0.25">
      <c r="A400" s="17">
        <f t="shared" ref="A400:A463" si="26">ROW(A386)</f>
        <v>386</v>
      </c>
      <c r="B400" s="229"/>
      <c r="C400" s="222"/>
      <c r="D400" s="112"/>
      <c r="E400" s="128"/>
      <c r="F400" s="183"/>
      <c r="G400" s="130"/>
      <c r="H400" s="131"/>
      <c r="I400" s="132"/>
      <c r="J400" s="189"/>
      <c r="K400" s="133"/>
      <c r="L400" s="134"/>
      <c r="M400" s="334"/>
      <c r="N400" s="343"/>
      <c r="O400" s="193"/>
      <c r="P400" s="191"/>
      <c r="Q400" s="193"/>
      <c r="R400" s="191"/>
      <c r="S400" s="296"/>
      <c r="T400" s="302"/>
      <c r="U400" s="306"/>
      <c r="V400" s="308"/>
      <c r="W400" s="249"/>
      <c r="X400" s="344"/>
      <c r="Y400" s="337"/>
      <c r="Z400" s="33"/>
      <c r="AA400" s="83"/>
      <c r="AB400" s="33"/>
      <c r="AC400" s="83"/>
      <c r="AD400" s="33"/>
      <c r="AE400" s="83"/>
      <c r="AF400" s="33"/>
      <c r="AG400" s="244"/>
      <c r="AH400" s="83"/>
      <c r="AI400" s="246"/>
      <c r="AJ400" s="102"/>
      <c r="AK400" s="92"/>
      <c r="AL400" s="91"/>
      <c r="AM400" s="92"/>
      <c r="AN400" s="351"/>
      <c r="AO400" s="197">
        <f t="shared" ref="AO400:AO463" si="27">AJ400-AK400-AL400-AM400-AN400</f>
        <v>0</v>
      </c>
      <c r="AP400" s="91"/>
      <c r="AQ400" s="217"/>
      <c r="AR400" s="196"/>
      <c r="AS400" s="265"/>
      <c r="AT400" s="94"/>
      <c r="AU400" s="84"/>
      <c r="AV400" s="136"/>
      <c r="AW400" s="81"/>
      <c r="AX400" s="137"/>
      <c r="AY400" s="138"/>
      <c r="AZ400" s="220">
        <f t="shared" si="24"/>
        <v>0</v>
      </c>
      <c r="BA400" s="220">
        <f t="shared" si="25"/>
        <v>0</v>
      </c>
    </row>
    <row r="401" spans="1:53" ht="50.1" customHeight="1" x14ac:dyDescent="0.25">
      <c r="A401" s="17">
        <f t="shared" si="26"/>
        <v>387</v>
      </c>
      <c r="B401" s="228"/>
      <c r="C401" s="221"/>
      <c r="D401" s="88"/>
      <c r="E401" s="100"/>
      <c r="F401" s="95"/>
      <c r="G401" s="114"/>
      <c r="H401" s="96"/>
      <c r="I401" s="97"/>
      <c r="J401" s="98"/>
      <c r="K401" s="101"/>
      <c r="L401" s="124"/>
      <c r="M401" s="333"/>
      <c r="N401" s="341"/>
      <c r="O401" s="190"/>
      <c r="P401" s="191"/>
      <c r="Q401" s="190"/>
      <c r="R401" s="191"/>
      <c r="S401" s="294"/>
      <c r="T401" s="300"/>
      <c r="U401" s="306"/>
      <c r="V401" s="308"/>
      <c r="W401" s="248"/>
      <c r="X401" s="345"/>
      <c r="Y401" s="337"/>
      <c r="Z401" s="123"/>
      <c r="AA401" s="83"/>
      <c r="AB401" s="123"/>
      <c r="AC401" s="83"/>
      <c r="AD401" s="123"/>
      <c r="AE401" s="83"/>
      <c r="AF401" s="123"/>
      <c r="AG401" s="243"/>
      <c r="AH401" s="123"/>
      <c r="AI401" s="245"/>
      <c r="AJ401" s="125"/>
      <c r="AK401" s="92"/>
      <c r="AL401" s="126"/>
      <c r="AM401" s="91"/>
      <c r="AN401" s="91"/>
      <c r="AO401" s="197">
        <f t="shared" si="27"/>
        <v>0</v>
      </c>
      <c r="AP401" s="126"/>
      <c r="AQ401" s="217"/>
      <c r="AR401" s="201"/>
      <c r="AS401" s="266"/>
      <c r="AT401" s="94"/>
      <c r="AU401" s="84"/>
      <c r="AV401" s="80"/>
      <c r="AW401" s="81"/>
      <c r="AX401" s="77"/>
      <c r="AY401" s="107"/>
      <c r="AZ401" s="220">
        <f t="shared" si="24"/>
        <v>0</v>
      </c>
      <c r="BA401" s="220">
        <f t="shared" si="25"/>
        <v>0</v>
      </c>
    </row>
    <row r="402" spans="1:53" ht="50.1" customHeight="1" x14ac:dyDescent="0.25">
      <c r="A402" s="17">
        <f t="shared" si="26"/>
        <v>388</v>
      </c>
      <c r="B402" s="229"/>
      <c r="C402" s="222"/>
      <c r="D402" s="112"/>
      <c r="E402" s="128"/>
      <c r="F402" s="183"/>
      <c r="G402" s="130"/>
      <c r="H402" s="131"/>
      <c r="I402" s="132"/>
      <c r="J402" s="189"/>
      <c r="K402" s="133"/>
      <c r="L402" s="134"/>
      <c r="M402" s="334"/>
      <c r="N402" s="343"/>
      <c r="O402" s="193"/>
      <c r="P402" s="191"/>
      <c r="Q402" s="193"/>
      <c r="R402" s="191"/>
      <c r="S402" s="296"/>
      <c r="T402" s="302"/>
      <c r="U402" s="306"/>
      <c r="V402" s="308"/>
      <c r="W402" s="249"/>
      <c r="X402" s="344"/>
      <c r="Y402" s="337"/>
      <c r="Z402" s="33"/>
      <c r="AA402" s="83"/>
      <c r="AB402" s="33"/>
      <c r="AC402" s="83"/>
      <c r="AD402" s="33"/>
      <c r="AE402" s="83"/>
      <c r="AF402" s="33"/>
      <c r="AG402" s="244"/>
      <c r="AH402" s="83"/>
      <c r="AI402" s="246"/>
      <c r="AJ402" s="102"/>
      <c r="AK402" s="92"/>
      <c r="AL402" s="91"/>
      <c r="AM402" s="92"/>
      <c r="AN402" s="351"/>
      <c r="AO402" s="197">
        <f t="shared" si="27"/>
        <v>0</v>
      </c>
      <c r="AP402" s="91"/>
      <c r="AQ402" s="217"/>
      <c r="AR402" s="196"/>
      <c r="AS402" s="265"/>
      <c r="AT402" s="94"/>
      <c r="AU402" s="84"/>
      <c r="AV402" s="136"/>
      <c r="AW402" s="81"/>
      <c r="AX402" s="137"/>
      <c r="AY402" s="138"/>
      <c r="AZ402" s="220">
        <f t="shared" si="24"/>
        <v>0</v>
      </c>
      <c r="BA402" s="220">
        <f t="shared" si="25"/>
        <v>0</v>
      </c>
    </row>
    <row r="403" spans="1:53" ht="50.1" customHeight="1" x14ac:dyDescent="0.25">
      <c r="A403" s="17">
        <f t="shared" si="26"/>
        <v>389</v>
      </c>
      <c r="B403" s="228"/>
      <c r="C403" s="221"/>
      <c r="D403" s="88"/>
      <c r="E403" s="100"/>
      <c r="F403" s="95"/>
      <c r="G403" s="114"/>
      <c r="H403" s="96"/>
      <c r="I403" s="97"/>
      <c r="J403" s="98"/>
      <c r="K403" s="101"/>
      <c r="L403" s="124"/>
      <c r="M403" s="333"/>
      <c r="N403" s="341"/>
      <c r="O403" s="190"/>
      <c r="P403" s="191"/>
      <c r="Q403" s="190"/>
      <c r="R403" s="191"/>
      <c r="S403" s="294"/>
      <c r="T403" s="300"/>
      <c r="U403" s="306"/>
      <c r="V403" s="308"/>
      <c r="W403" s="248"/>
      <c r="X403" s="342"/>
      <c r="Y403" s="337"/>
      <c r="Z403" s="123"/>
      <c r="AA403" s="83"/>
      <c r="AB403" s="123"/>
      <c r="AC403" s="83"/>
      <c r="AD403" s="123"/>
      <c r="AE403" s="83"/>
      <c r="AF403" s="123"/>
      <c r="AG403" s="243"/>
      <c r="AH403" s="33"/>
      <c r="AI403" s="245"/>
      <c r="AJ403" s="125"/>
      <c r="AK403" s="92"/>
      <c r="AL403" s="126"/>
      <c r="AM403" s="91"/>
      <c r="AN403" s="91"/>
      <c r="AO403" s="197">
        <f t="shared" si="27"/>
        <v>0</v>
      </c>
      <c r="AP403" s="126"/>
      <c r="AQ403" s="217"/>
      <c r="AR403" s="201"/>
      <c r="AS403" s="266"/>
      <c r="AT403" s="94"/>
      <c r="AU403" s="84"/>
      <c r="AV403" s="80"/>
      <c r="AW403" s="81"/>
      <c r="AX403" s="77"/>
      <c r="AY403" s="107"/>
      <c r="AZ403" s="220">
        <f t="shared" si="24"/>
        <v>0</v>
      </c>
      <c r="BA403" s="220">
        <f t="shared" si="25"/>
        <v>0</v>
      </c>
    </row>
    <row r="404" spans="1:53" ht="50.1" customHeight="1" x14ac:dyDescent="0.25">
      <c r="A404" s="17">
        <f t="shared" si="26"/>
        <v>390</v>
      </c>
      <c r="B404" s="229"/>
      <c r="C404" s="222"/>
      <c r="D404" s="112"/>
      <c r="E404" s="128"/>
      <c r="F404" s="183"/>
      <c r="G404" s="130"/>
      <c r="H404" s="131"/>
      <c r="I404" s="132"/>
      <c r="J404" s="189"/>
      <c r="K404" s="133"/>
      <c r="L404" s="134"/>
      <c r="M404" s="334"/>
      <c r="N404" s="343"/>
      <c r="O404" s="193"/>
      <c r="P404" s="191"/>
      <c r="Q404" s="193"/>
      <c r="R404" s="191"/>
      <c r="S404" s="296"/>
      <c r="T404" s="302"/>
      <c r="U404" s="306"/>
      <c r="V404" s="308"/>
      <c r="W404" s="249"/>
      <c r="X404" s="344"/>
      <c r="Y404" s="337"/>
      <c r="Z404" s="33"/>
      <c r="AA404" s="83"/>
      <c r="AB404" s="33"/>
      <c r="AC404" s="83"/>
      <c r="AD404" s="33"/>
      <c r="AE404" s="83"/>
      <c r="AF404" s="33"/>
      <c r="AG404" s="244"/>
      <c r="AH404" s="83"/>
      <c r="AI404" s="246"/>
      <c r="AJ404" s="102"/>
      <c r="AK404" s="92"/>
      <c r="AL404" s="91"/>
      <c r="AM404" s="92"/>
      <c r="AN404" s="351"/>
      <c r="AO404" s="197">
        <f t="shared" si="27"/>
        <v>0</v>
      </c>
      <c r="AP404" s="91"/>
      <c r="AQ404" s="217"/>
      <c r="AR404" s="196"/>
      <c r="AS404" s="265"/>
      <c r="AT404" s="94"/>
      <c r="AU404" s="84"/>
      <c r="AV404" s="136"/>
      <c r="AW404" s="81"/>
      <c r="AX404" s="137"/>
      <c r="AY404" s="138"/>
      <c r="AZ404" s="220">
        <f t="shared" si="24"/>
        <v>0</v>
      </c>
      <c r="BA404" s="220">
        <f t="shared" si="25"/>
        <v>0</v>
      </c>
    </row>
    <row r="405" spans="1:53" ht="50.1" customHeight="1" x14ac:dyDescent="0.25">
      <c r="A405" s="17">
        <f t="shared" si="26"/>
        <v>391</v>
      </c>
      <c r="B405" s="228"/>
      <c r="C405" s="221"/>
      <c r="D405" s="88"/>
      <c r="E405" s="100"/>
      <c r="F405" s="95"/>
      <c r="G405" s="114"/>
      <c r="H405" s="96"/>
      <c r="I405" s="97"/>
      <c r="J405" s="98"/>
      <c r="K405" s="101"/>
      <c r="L405" s="124"/>
      <c r="M405" s="333"/>
      <c r="N405" s="346"/>
      <c r="O405" s="190"/>
      <c r="P405" s="191"/>
      <c r="Q405" s="190"/>
      <c r="R405" s="191"/>
      <c r="S405" s="294"/>
      <c r="T405" s="300"/>
      <c r="U405" s="306"/>
      <c r="V405" s="308"/>
      <c r="W405" s="248"/>
      <c r="X405" s="342"/>
      <c r="Y405" s="337"/>
      <c r="Z405" s="123"/>
      <c r="AA405" s="83"/>
      <c r="AB405" s="123"/>
      <c r="AC405" s="83"/>
      <c r="AD405" s="123"/>
      <c r="AE405" s="83"/>
      <c r="AF405" s="123"/>
      <c r="AG405" s="243"/>
      <c r="AH405" s="33"/>
      <c r="AI405" s="245"/>
      <c r="AJ405" s="125"/>
      <c r="AK405" s="92"/>
      <c r="AL405" s="126"/>
      <c r="AM405" s="91"/>
      <c r="AN405" s="91"/>
      <c r="AO405" s="197">
        <f t="shared" si="27"/>
        <v>0</v>
      </c>
      <c r="AP405" s="126"/>
      <c r="AQ405" s="217"/>
      <c r="AR405" s="201"/>
      <c r="AS405" s="266"/>
      <c r="AT405" s="94"/>
      <c r="AU405" s="84"/>
      <c r="AV405" s="80"/>
      <c r="AW405" s="81"/>
      <c r="AX405" s="77"/>
      <c r="AY405" s="107"/>
      <c r="AZ405" s="220">
        <f t="shared" si="24"/>
        <v>0</v>
      </c>
      <c r="BA405" s="220">
        <f t="shared" si="25"/>
        <v>0</v>
      </c>
    </row>
    <row r="406" spans="1:53" ht="50.1" customHeight="1" x14ac:dyDescent="0.25">
      <c r="A406" s="17">
        <f t="shared" si="26"/>
        <v>392</v>
      </c>
      <c r="B406" s="229"/>
      <c r="C406" s="222"/>
      <c r="D406" s="112"/>
      <c r="E406" s="128"/>
      <c r="F406" s="183"/>
      <c r="G406" s="130"/>
      <c r="H406" s="131"/>
      <c r="I406" s="132"/>
      <c r="J406" s="189"/>
      <c r="K406" s="133"/>
      <c r="L406" s="134"/>
      <c r="M406" s="334"/>
      <c r="N406" s="343"/>
      <c r="O406" s="193"/>
      <c r="P406" s="191"/>
      <c r="Q406" s="193"/>
      <c r="R406" s="191"/>
      <c r="S406" s="296"/>
      <c r="T406" s="302"/>
      <c r="U406" s="306"/>
      <c r="V406" s="308"/>
      <c r="W406" s="249"/>
      <c r="X406" s="344"/>
      <c r="Y406" s="337"/>
      <c r="Z406" s="33"/>
      <c r="AA406" s="83"/>
      <c r="AB406" s="33"/>
      <c r="AC406" s="83"/>
      <c r="AD406" s="33"/>
      <c r="AE406" s="83"/>
      <c r="AF406" s="33"/>
      <c r="AG406" s="244"/>
      <c r="AH406" s="83"/>
      <c r="AI406" s="246"/>
      <c r="AJ406" s="195"/>
      <c r="AK406" s="92"/>
      <c r="AL406" s="91"/>
      <c r="AM406" s="92"/>
      <c r="AN406" s="351"/>
      <c r="AO406" s="197">
        <f t="shared" si="27"/>
        <v>0</v>
      </c>
      <c r="AP406" s="91"/>
      <c r="AQ406" s="217"/>
      <c r="AR406" s="196"/>
      <c r="AS406" s="265"/>
      <c r="AT406" s="94"/>
      <c r="AU406" s="84"/>
      <c r="AV406" s="136"/>
      <c r="AW406" s="81"/>
      <c r="AX406" s="137"/>
      <c r="AY406" s="138"/>
      <c r="AZ406" s="220">
        <f t="shared" si="24"/>
        <v>0</v>
      </c>
      <c r="BA406" s="220">
        <f t="shared" si="25"/>
        <v>0</v>
      </c>
    </row>
    <row r="407" spans="1:53" ht="50.1" customHeight="1" x14ac:dyDescent="0.25">
      <c r="A407" s="17">
        <f t="shared" si="26"/>
        <v>393</v>
      </c>
      <c r="B407" s="228"/>
      <c r="C407" s="221"/>
      <c r="D407" s="88"/>
      <c r="E407" s="100"/>
      <c r="F407" s="95"/>
      <c r="G407" s="114"/>
      <c r="H407" s="96"/>
      <c r="I407" s="97"/>
      <c r="J407" s="98"/>
      <c r="K407" s="101"/>
      <c r="L407" s="124"/>
      <c r="M407" s="333"/>
      <c r="N407" s="341"/>
      <c r="O407" s="190"/>
      <c r="P407" s="191"/>
      <c r="Q407" s="190"/>
      <c r="R407" s="191"/>
      <c r="S407" s="294"/>
      <c r="T407" s="300"/>
      <c r="U407" s="306"/>
      <c r="V407" s="308"/>
      <c r="W407" s="248"/>
      <c r="X407" s="342"/>
      <c r="Y407" s="337"/>
      <c r="Z407" s="123"/>
      <c r="AA407" s="83"/>
      <c r="AB407" s="123"/>
      <c r="AC407" s="83"/>
      <c r="AD407" s="123"/>
      <c r="AE407" s="83"/>
      <c r="AF407" s="123"/>
      <c r="AG407" s="243"/>
      <c r="AH407" s="33"/>
      <c r="AI407" s="245"/>
      <c r="AJ407" s="125"/>
      <c r="AK407" s="92"/>
      <c r="AL407" s="126"/>
      <c r="AM407" s="91"/>
      <c r="AN407" s="91"/>
      <c r="AO407" s="197">
        <f t="shared" si="27"/>
        <v>0</v>
      </c>
      <c r="AP407" s="126"/>
      <c r="AQ407" s="217"/>
      <c r="AR407" s="201"/>
      <c r="AS407" s="266"/>
      <c r="AT407" s="94"/>
      <c r="AU407" s="84"/>
      <c r="AV407" s="80"/>
      <c r="AW407" s="81"/>
      <c r="AX407" s="77"/>
      <c r="AY407" s="107"/>
      <c r="AZ407" s="220">
        <f t="shared" si="24"/>
        <v>0</v>
      </c>
      <c r="BA407" s="220">
        <f t="shared" si="25"/>
        <v>0</v>
      </c>
    </row>
    <row r="408" spans="1:53" ht="50.1" customHeight="1" x14ac:dyDescent="0.25">
      <c r="A408" s="17">
        <f t="shared" si="26"/>
        <v>394</v>
      </c>
      <c r="B408" s="229"/>
      <c r="C408" s="222"/>
      <c r="D408" s="112"/>
      <c r="E408" s="128"/>
      <c r="F408" s="183"/>
      <c r="G408" s="130"/>
      <c r="H408" s="131"/>
      <c r="I408" s="132"/>
      <c r="J408" s="189"/>
      <c r="K408" s="133"/>
      <c r="L408" s="134"/>
      <c r="M408" s="334"/>
      <c r="N408" s="343"/>
      <c r="O408" s="193"/>
      <c r="P408" s="191"/>
      <c r="Q408" s="193"/>
      <c r="R408" s="191"/>
      <c r="S408" s="296"/>
      <c r="T408" s="302"/>
      <c r="U408" s="306"/>
      <c r="V408" s="308"/>
      <c r="W408" s="249"/>
      <c r="X408" s="344"/>
      <c r="Y408" s="337"/>
      <c r="Z408" s="33"/>
      <c r="AA408" s="83"/>
      <c r="AB408" s="33"/>
      <c r="AC408" s="83"/>
      <c r="AD408" s="33"/>
      <c r="AE408" s="83"/>
      <c r="AF408" s="33"/>
      <c r="AG408" s="244"/>
      <c r="AH408" s="83"/>
      <c r="AI408" s="246"/>
      <c r="AJ408" s="195"/>
      <c r="AK408" s="92"/>
      <c r="AL408" s="91"/>
      <c r="AM408" s="92"/>
      <c r="AN408" s="351"/>
      <c r="AO408" s="197">
        <f t="shared" si="27"/>
        <v>0</v>
      </c>
      <c r="AP408" s="91"/>
      <c r="AQ408" s="217"/>
      <c r="AR408" s="196"/>
      <c r="AS408" s="265"/>
      <c r="AT408" s="94"/>
      <c r="AU408" s="84"/>
      <c r="AV408" s="136"/>
      <c r="AW408" s="81"/>
      <c r="AX408" s="137"/>
      <c r="AY408" s="138"/>
      <c r="AZ408" s="220">
        <f t="shared" si="24"/>
        <v>0</v>
      </c>
      <c r="BA408" s="220">
        <f t="shared" si="25"/>
        <v>0</v>
      </c>
    </row>
    <row r="409" spans="1:53" ht="50.1" customHeight="1" x14ac:dyDescent="0.25">
      <c r="A409" s="17">
        <f t="shared" si="26"/>
        <v>395</v>
      </c>
      <c r="B409" s="228"/>
      <c r="C409" s="221"/>
      <c r="D409" s="88"/>
      <c r="E409" s="100"/>
      <c r="F409" s="95"/>
      <c r="G409" s="114"/>
      <c r="H409" s="96"/>
      <c r="I409" s="97"/>
      <c r="J409" s="98"/>
      <c r="K409" s="101"/>
      <c r="L409" s="124"/>
      <c r="M409" s="333"/>
      <c r="N409" s="341"/>
      <c r="O409" s="190"/>
      <c r="P409" s="191"/>
      <c r="Q409" s="190"/>
      <c r="R409" s="191"/>
      <c r="S409" s="294"/>
      <c r="T409" s="300"/>
      <c r="U409" s="306"/>
      <c r="V409" s="308"/>
      <c r="W409" s="248"/>
      <c r="X409" s="342"/>
      <c r="Y409" s="337"/>
      <c r="Z409" s="123"/>
      <c r="AA409" s="83"/>
      <c r="AB409" s="123"/>
      <c r="AC409" s="83"/>
      <c r="AD409" s="123"/>
      <c r="AE409" s="83"/>
      <c r="AF409" s="123"/>
      <c r="AG409" s="243"/>
      <c r="AH409" s="33"/>
      <c r="AI409" s="245"/>
      <c r="AJ409" s="125"/>
      <c r="AK409" s="92"/>
      <c r="AL409" s="126"/>
      <c r="AM409" s="91"/>
      <c r="AN409" s="91"/>
      <c r="AO409" s="197">
        <f t="shared" si="27"/>
        <v>0</v>
      </c>
      <c r="AP409" s="126"/>
      <c r="AQ409" s="217"/>
      <c r="AR409" s="201"/>
      <c r="AS409" s="266"/>
      <c r="AT409" s="94"/>
      <c r="AU409" s="84"/>
      <c r="AV409" s="80"/>
      <c r="AW409" s="81"/>
      <c r="AX409" s="77"/>
      <c r="AY409" s="107"/>
      <c r="AZ409" s="220">
        <f t="shared" si="24"/>
        <v>0</v>
      </c>
      <c r="BA409" s="220">
        <f t="shared" si="25"/>
        <v>0</v>
      </c>
    </row>
    <row r="410" spans="1:53" ht="50.1" customHeight="1" x14ac:dyDescent="0.25">
      <c r="A410" s="17">
        <f t="shared" si="26"/>
        <v>396</v>
      </c>
      <c r="B410" s="229"/>
      <c r="C410" s="222"/>
      <c r="D410" s="112"/>
      <c r="E410" s="128"/>
      <c r="F410" s="183"/>
      <c r="G410" s="130"/>
      <c r="H410" s="131"/>
      <c r="I410" s="132"/>
      <c r="J410" s="189"/>
      <c r="K410" s="133"/>
      <c r="L410" s="134"/>
      <c r="M410" s="334"/>
      <c r="N410" s="343"/>
      <c r="O410" s="193"/>
      <c r="P410" s="191"/>
      <c r="Q410" s="193"/>
      <c r="R410" s="191"/>
      <c r="S410" s="296"/>
      <c r="T410" s="302"/>
      <c r="U410" s="306"/>
      <c r="V410" s="308"/>
      <c r="W410" s="249"/>
      <c r="X410" s="344"/>
      <c r="Y410" s="337"/>
      <c r="Z410" s="33"/>
      <c r="AA410" s="83"/>
      <c r="AB410" s="33"/>
      <c r="AC410" s="83"/>
      <c r="AD410" s="33"/>
      <c r="AE410" s="83"/>
      <c r="AF410" s="33"/>
      <c r="AG410" s="244"/>
      <c r="AH410" s="83"/>
      <c r="AI410" s="246"/>
      <c r="AJ410" s="102"/>
      <c r="AK410" s="92"/>
      <c r="AL410" s="91"/>
      <c r="AM410" s="92"/>
      <c r="AN410" s="351"/>
      <c r="AO410" s="197">
        <f t="shared" si="27"/>
        <v>0</v>
      </c>
      <c r="AP410" s="91"/>
      <c r="AQ410" s="217"/>
      <c r="AR410" s="196"/>
      <c r="AS410" s="265"/>
      <c r="AT410" s="94"/>
      <c r="AU410" s="84"/>
      <c r="AV410" s="136"/>
      <c r="AW410" s="81"/>
      <c r="AX410" s="137"/>
      <c r="AY410" s="138"/>
      <c r="AZ410" s="220">
        <f t="shared" si="24"/>
        <v>0</v>
      </c>
      <c r="BA410" s="220">
        <f t="shared" si="25"/>
        <v>0</v>
      </c>
    </row>
    <row r="411" spans="1:53" ht="50.1" customHeight="1" x14ac:dyDescent="0.25">
      <c r="A411" s="17">
        <f t="shared" si="26"/>
        <v>397</v>
      </c>
      <c r="B411" s="228"/>
      <c r="C411" s="221"/>
      <c r="D411" s="88"/>
      <c r="E411" s="100"/>
      <c r="F411" s="95"/>
      <c r="G411" s="114"/>
      <c r="H411" s="96"/>
      <c r="I411" s="97"/>
      <c r="J411" s="98"/>
      <c r="K411" s="101"/>
      <c r="L411" s="124"/>
      <c r="M411" s="333"/>
      <c r="N411" s="341"/>
      <c r="O411" s="190"/>
      <c r="P411" s="191"/>
      <c r="Q411" s="190"/>
      <c r="R411" s="191"/>
      <c r="S411" s="294"/>
      <c r="T411" s="300"/>
      <c r="U411" s="306"/>
      <c r="V411" s="308"/>
      <c r="W411" s="248"/>
      <c r="X411" s="342"/>
      <c r="Y411" s="337"/>
      <c r="Z411" s="123"/>
      <c r="AA411" s="83"/>
      <c r="AB411" s="123"/>
      <c r="AC411" s="83"/>
      <c r="AD411" s="123"/>
      <c r="AE411" s="83"/>
      <c r="AF411" s="123"/>
      <c r="AG411" s="243"/>
      <c r="AH411" s="33"/>
      <c r="AI411" s="245"/>
      <c r="AJ411" s="125"/>
      <c r="AK411" s="92"/>
      <c r="AL411" s="126"/>
      <c r="AM411" s="91"/>
      <c r="AN411" s="91"/>
      <c r="AO411" s="197">
        <f t="shared" si="27"/>
        <v>0</v>
      </c>
      <c r="AP411" s="126"/>
      <c r="AQ411" s="217"/>
      <c r="AR411" s="201"/>
      <c r="AS411" s="266"/>
      <c r="AT411" s="94"/>
      <c r="AU411" s="84"/>
      <c r="AV411" s="80"/>
      <c r="AW411" s="81"/>
      <c r="AX411" s="77"/>
      <c r="AY411" s="107"/>
      <c r="AZ411" s="220">
        <f t="shared" si="24"/>
        <v>0</v>
      </c>
      <c r="BA411" s="220">
        <f t="shared" si="25"/>
        <v>0</v>
      </c>
    </row>
    <row r="412" spans="1:53" ht="50.1" customHeight="1" x14ac:dyDescent="0.25">
      <c r="A412" s="17">
        <f t="shared" si="26"/>
        <v>398</v>
      </c>
      <c r="B412" s="229"/>
      <c r="C412" s="222"/>
      <c r="D412" s="112"/>
      <c r="E412" s="128"/>
      <c r="F412" s="183"/>
      <c r="G412" s="130"/>
      <c r="H412" s="131"/>
      <c r="I412" s="132"/>
      <c r="J412" s="189"/>
      <c r="K412" s="133"/>
      <c r="L412" s="134"/>
      <c r="M412" s="334"/>
      <c r="N412" s="343"/>
      <c r="O412" s="193"/>
      <c r="P412" s="191"/>
      <c r="Q412" s="193"/>
      <c r="R412" s="191"/>
      <c r="S412" s="296"/>
      <c r="T412" s="302"/>
      <c r="U412" s="306"/>
      <c r="V412" s="308"/>
      <c r="W412" s="249"/>
      <c r="X412" s="344"/>
      <c r="Y412" s="337"/>
      <c r="Z412" s="33"/>
      <c r="AA412" s="83"/>
      <c r="AB412" s="33"/>
      <c r="AC412" s="83"/>
      <c r="AD412" s="33"/>
      <c r="AE412" s="83"/>
      <c r="AF412" s="33"/>
      <c r="AG412" s="244"/>
      <c r="AH412" s="83"/>
      <c r="AI412" s="246"/>
      <c r="AJ412" s="102"/>
      <c r="AK412" s="92"/>
      <c r="AL412" s="91"/>
      <c r="AM412" s="92"/>
      <c r="AN412" s="351"/>
      <c r="AO412" s="197">
        <f t="shared" si="27"/>
        <v>0</v>
      </c>
      <c r="AP412" s="91"/>
      <c r="AQ412" s="217"/>
      <c r="AR412" s="196"/>
      <c r="AS412" s="265"/>
      <c r="AT412" s="94"/>
      <c r="AU412" s="84"/>
      <c r="AV412" s="136"/>
      <c r="AW412" s="81"/>
      <c r="AX412" s="137"/>
      <c r="AY412" s="138"/>
      <c r="AZ412" s="220">
        <f t="shared" si="24"/>
        <v>0</v>
      </c>
      <c r="BA412" s="220">
        <f t="shared" si="25"/>
        <v>0</v>
      </c>
    </row>
    <row r="413" spans="1:53" ht="50.1" customHeight="1" x14ac:dyDescent="0.25">
      <c r="A413" s="17">
        <f t="shared" si="26"/>
        <v>399</v>
      </c>
      <c r="B413" s="228"/>
      <c r="C413" s="221"/>
      <c r="D413" s="88"/>
      <c r="E413" s="100"/>
      <c r="F413" s="95"/>
      <c r="G413" s="114"/>
      <c r="H413" s="96"/>
      <c r="I413" s="97"/>
      <c r="J413" s="98"/>
      <c r="K413" s="101"/>
      <c r="L413" s="124"/>
      <c r="M413" s="333"/>
      <c r="N413" s="341"/>
      <c r="O413" s="190"/>
      <c r="P413" s="191"/>
      <c r="Q413" s="190"/>
      <c r="R413" s="191"/>
      <c r="S413" s="294"/>
      <c r="T413" s="300"/>
      <c r="U413" s="306"/>
      <c r="V413" s="308"/>
      <c r="W413" s="248"/>
      <c r="X413" s="342"/>
      <c r="Y413" s="337"/>
      <c r="Z413" s="123"/>
      <c r="AA413" s="83"/>
      <c r="AB413" s="123"/>
      <c r="AC413" s="83"/>
      <c r="AD413" s="123"/>
      <c r="AE413" s="83"/>
      <c r="AF413" s="123"/>
      <c r="AG413" s="243"/>
      <c r="AH413" s="33"/>
      <c r="AI413" s="245"/>
      <c r="AJ413" s="125"/>
      <c r="AK413" s="92"/>
      <c r="AL413" s="126"/>
      <c r="AM413" s="91"/>
      <c r="AN413" s="91"/>
      <c r="AO413" s="197">
        <f t="shared" si="27"/>
        <v>0</v>
      </c>
      <c r="AP413" s="126"/>
      <c r="AQ413" s="217"/>
      <c r="AR413" s="201"/>
      <c r="AS413" s="266"/>
      <c r="AT413" s="94"/>
      <c r="AU413" s="84"/>
      <c r="AV413" s="80"/>
      <c r="AW413" s="81"/>
      <c r="AX413" s="77"/>
      <c r="AY413" s="107"/>
      <c r="AZ413" s="220">
        <f t="shared" si="24"/>
        <v>0</v>
      </c>
      <c r="BA413" s="220">
        <f t="shared" si="25"/>
        <v>0</v>
      </c>
    </row>
    <row r="414" spans="1:53" ht="50.1" customHeight="1" x14ac:dyDescent="0.25">
      <c r="A414" s="17">
        <f t="shared" si="26"/>
        <v>400</v>
      </c>
      <c r="B414" s="229"/>
      <c r="C414" s="222"/>
      <c r="D414" s="112"/>
      <c r="E414" s="128"/>
      <c r="F414" s="183"/>
      <c r="G414" s="130"/>
      <c r="H414" s="131"/>
      <c r="I414" s="132"/>
      <c r="J414" s="189"/>
      <c r="K414" s="133"/>
      <c r="L414" s="134"/>
      <c r="M414" s="334"/>
      <c r="N414" s="343"/>
      <c r="O414" s="193"/>
      <c r="P414" s="191"/>
      <c r="Q414" s="193"/>
      <c r="R414" s="191"/>
      <c r="S414" s="296"/>
      <c r="T414" s="302"/>
      <c r="U414" s="306"/>
      <c r="V414" s="308"/>
      <c r="W414" s="249"/>
      <c r="X414" s="345"/>
      <c r="Y414" s="337"/>
      <c r="Z414" s="33"/>
      <c r="AA414" s="83"/>
      <c r="AB414" s="33"/>
      <c r="AC414" s="83"/>
      <c r="AD414" s="33"/>
      <c r="AE414" s="83"/>
      <c r="AF414" s="33"/>
      <c r="AG414" s="244"/>
      <c r="AH414" s="83"/>
      <c r="AI414" s="246"/>
      <c r="AJ414" s="102"/>
      <c r="AK414" s="92"/>
      <c r="AL414" s="91"/>
      <c r="AM414" s="92"/>
      <c r="AN414" s="351"/>
      <c r="AO414" s="197">
        <f t="shared" si="27"/>
        <v>0</v>
      </c>
      <c r="AP414" s="91"/>
      <c r="AQ414" s="217"/>
      <c r="AR414" s="196"/>
      <c r="AS414" s="265"/>
      <c r="AT414" s="94"/>
      <c r="AU414" s="84"/>
      <c r="AV414" s="136"/>
      <c r="AW414" s="81"/>
      <c r="AX414" s="137"/>
      <c r="AY414" s="138"/>
      <c r="AZ414" s="220">
        <f t="shared" si="24"/>
        <v>0</v>
      </c>
      <c r="BA414" s="220">
        <f t="shared" si="25"/>
        <v>0</v>
      </c>
    </row>
    <row r="415" spans="1:53" ht="50.1" customHeight="1" x14ac:dyDescent="0.25">
      <c r="A415" s="17">
        <f t="shared" si="26"/>
        <v>401</v>
      </c>
      <c r="B415" s="228"/>
      <c r="C415" s="221"/>
      <c r="D415" s="88"/>
      <c r="E415" s="100"/>
      <c r="F415" s="95"/>
      <c r="G415" s="114"/>
      <c r="H415" s="96"/>
      <c r="I415" s="97"/>
      <c r="J415" s="98"/>
      <c r="K415" s="101"/>
      <c r="L415" s="124"/>
      <c r="M415" s="333"/>
      <c r="N415" s="341"/>
      <c r="O415" s="190"/>
      <c r="P415" s="191"/>
      <c r="Q415" s="190"/>
      <c r="R415" s="191"/>
      <c r="S415" s="294"/>
      <c r="T415" s="300"/>
      <c r="U415" s="306"/>
      <c r="V415" s="308"/>
      <c r="W415" s="248"/>
      <c r="X415" s="345"/>
      <c r="Y415" s="337"/>
      <c r="Z415" s="123"/>
      <c r="AA415" s="83"/>
      <c r="AB415" s="123"/>
      <c r="AC415" s="83"/>
      <c r="AD415" s="123"/>
      <c r="AE415" s="83"/>
      <c r="AF415" s="123"/>
      <c r="AG415" s="243"/>
      <c r="AH415" s="123"/>
      <c r="AI415" s="245"/>
      <c r="AJ415" s="125"/>
      <c r="AK415" s="92"/>
      <c r="AL415" s="126"/>
      <c r="AM415" s="91"/>
      <c r="AN415" s="91"/>
      <c r="AO415" s="197">
        <f t="shared" si="27"/>
        <v>0</v>
      </c>
      <c r="AP415" s="126"/>
      <c r="AQ415" s="217"/>
      <c r="AR415" s="201"/>
      <c r="AS415" s="266"/>
      <c r="AT415" s="94"/>
      <c r="AU415" s="84"/>
      <c r="AV415" s="80"/>
      <c r="AW415" s="81"/>
      <c r="AX415" s="77"/>
      <c r="AY415" s="107"/>
      <c r="AZ415" s="220">
        <f t="shared" si="24"/>
        <v>0</v>
      </c>
      <c r="BA415" s="220">
        <f t="shared" si="25"/>
        <v>0</v>
      </c>
    </row>
    <row r="416" spans="1:53" ht="50.1" customHeight="1" x14ac:dyDescent="0.25">
      <c r="A416" s="17">
        <f t="shared" si="26"/>
        <v>402</v>
      </c>
      <c r="B416" s="229"/>
      <c r="C416" s="222"/>
      <c r="D416" s="112"/>
      <c r="E416" s="128"/>
      <c r="F416" s="183"/>
      <c r="G416" s="130"/>
      <c r="H416" s="131"/>
      <c r="I416" s="132"/>
      <c r="J416" s="189"/>
      <c r="K416" s="133"/>
      <c r="L416" s="134"/>
      <c r="M416" s="334"/>
      <c r="N416" s="343"/>
      <c r="O416" s="193"/>
      <c r="P416" s="191"/>
      <c r="Q416" s="193"/>
      <c r="R416" s="191"/>
      <c r="S416" s="296"/>
      <c r="T416" s="302"/>
      <c r="U416" s="306"/>
      <c r="V416" s="308"/>
      <c r="W416" s="249"/>
      <c r="X416" s="345"/>
      <c r="Y416" s="337"/>
      <c r="Z416" s="33"/>
      <c r="AA416" s="83"/>
      <c r="AB416" s="33"/>
      <c r="AC416" s="83"/>
      <c r="AD416" s="33"/>
      <c r="AE416" s="83"/>
      <c r="AF416" s="33"/>
      <c r="AG416" s="244"/>
      <c r="AH416" s="83"/>
      <c r="AI416" s="246"/>
      <c r="AJ416" s="102"/>
      <c r="AK416" s="92"/>
      <c r="AL416" s="91"/>
      <c r="AM416" s="92"/>
      <c r="AN416" s="351"/>
      <c r="AO416" s="197">
        <f t="shared" si="27"/>
        <v>0</v>
      </c>
      <c r="AP416" s="91"/>
      <c r="AQ416" s="217"/>
      <c r="AR416" s="196"/>
      <c r="AS416" s="265"/>
      <c r="AT416" s="94"/>
      <c r="AU416" s="84"/>
      <c r="AV416" s="136"/>
      <c r="AW416" s="81"/>
      <c r="AX416" s="137"/>
      <c r="AY416" s="138"/>
      <c r="AZ416" s="220">
        <f t="shared" si="24"/>
        <v>0</v>
      </c>
      <c r="BA416" s="220">
        <f t="shared" si="25"/>
        <v>0</v>
      </c>
    </row>
    <row r="417" spans="1:53" ht="50.1" customHeight="1" x14ac:dyDescent="0.25">
      <c r="A417" s="17">
        <f t="shared" si="26"/>
        <v>403</v>
      </c>
      <c r="B417" s="228"/>
      <c r="C417" s="221"/>
      <c r="D417" s="88"/>
      <c r="E417" s="100"/>
      <c r="F417" s="95"/>
      <c r="G417" s="114"/>
      <c r="H417" s="96"/>
      <c r="I417" s="97"/>
      <c r="J417" s="98"/>
      <c r="K417" s="101"/>
      <c r="L417" s="124"/>
      <c r="M417" s="333"/>
      <c r="N417" s="341"/>
      <c r="O417" s="190"/>
      <c r="P417" s="191"/>
      <c r="Q417" s="190"/>
      <c r="R417" s="191"/>
      <c r="S417" s="294"/>
      <c r="T417" s="300"/>
      <c r="U417" s="306"/>
      <c r="V417" s="308"/>
      <c r="W417" s="248"/>
      <c r="X417" s="342"/>
      <c r="Y417" s="337"/>
      <c r="Z417" s="123"/>
      <c r="AA417" s="83"/>
      <c r="AB417" s="123"/>
      <c r="AC417" s="83"/>
      <c r="AD417" s="123"/>
      <c r="AE417" s="83"/>
      <c r="AF417" s="123"/>
      <c r="AG417" s="243"/>
      <c r="AH417" s="33"/>
      <c r="AI417" s="245"/>
      <c r="AJ417" s="125"/>
      <c r="AK417" s="92"/>
      <c r="AL417" s="126"/>
      <c r="AM417" s="91"/>
      <c r="AN417" s="91"/>
      <c r="AO417" s="197">
        <f t="shared" si="27"/>
        <v>0</v>
      </c>
      <c r="AP417" s="126"/>
      <c r="AQ417" s="217"/>
      <c r="AR417" s="201"/>
      <c r="AS417" s="266"/>
      <c r="AT417" s="94"/>
      <c r="AU417" s="84"/>
      <c r="AV417" s="80"/>
      <c r="AW417" s="81"/>
      <c r="AX417" s="77"/>
      <c r="AY417" s="107"/>
      <c r="AZ417" s="220">
        <f t="shared" si="24"/>
        <v>0</v>
      </c>
      <c r="BA417" s="220">
        <f t="shared" si="25"/>
        <v>0</v>
      </c>
    </row>
    <row r="418" spans="1:53" ht="50.1" customHeight="1" x14ac:dyDescent="0.25">
      <c r="A418" s="17">
        <f t="shared" si="26"/>
        <v>404</v>
      </c>
      <c r="B418" s="229"/>
      <c r="C418" s="222"/>
      <c r="D418" s="112"/>
      <c r="E418" s="128"/>
      <c r="F418" s="183"/>
      <c r="G418" s="130"/>
      <c r="H418" s="131"/>
      <c r="I418" s="132"/>
      <c r="J418" s="189"/>
      <c r="K418" s="133"/>
      <c r="L418" s="134"/>
      <c r="M418" s="334"/>
      <c r="N418" s="343"/>
      <c r="O418" s="193"/>
      <c r="P418" s="191"/>
      <c r="Q418" s="193"/>
      <c r="R418" s="191"/>
      <c r="S418" s="296"/>
      <c r="T418" s="302"/>
      <c r="U418" s="306"/>
      <c r="V418" s="308"/>
      <c r="W418" s="249"/>
      <c r="X418" s="344"/>
      <c r="Y418" s="337"/>
      <c r="Z418" s="33"/>
      <c r="AA418" s="83"/>
      <c r="AB418" s="33"/>
      <c r="AC418" s="83"/>
      <c r="AD418" s="33"/>
      <c r="AE418" s="83"/>
      <c r="AF418" s="33"/>
      <c r="AG418" s="244"/>
      <c r="AH418" s="83"/>
      <c r="AI418" s="246"/>
      <c r="AJ418" s="102"/>
      <c r="AK418" s="92"/>
      <c r="AL418" s="91"/>
      <c r="AM418" s="92"/>
      <c r="AN418" s="351"/>
      <c r="AO418" s="197">
        <f t="shared" si="27"/>
        <v>0</v>
      </c>
      <c r="AP418" s="91"/>
      <c r="AQ418" s="217"/>
      <c r="AR418" s="196"/>
      <c r="AS418" s="265"/>
      <c r="AT418" s="94"/>
      <c r="AU418" s="84"/>
      <c r="AV418" s="136"/>
      <c r="AW418" s="81"/>
      <c r="AX418" s="137"/>
      <c r="AY418" s="138"/>
      <c r="AZ418" s="220">
        <f t="shared" si="24"/>
        <v>0</v>
      </c>
      <c r="BA418" s="220">
        <f t="shared" si="25"/>
        <v>0</v>
      </c>
    </row>
    <row r="419" spans="1:53" ht="50.1" customHeight="1" x14ac:dyDescent="0.25">
      <c r="A419" s="17">
        <f t="shared" si="26"/>
        <v>405</v>
      </c>
      <c r="B419" s="228"/>
      <c r="C419" s="221"/>
      <c r="D419" s="88"/>
      <c r="E419" s="100"/>
      <c r="F419" s="95"/>
      <c r="G419" s="114"/>
      <c r="H419" s="96"/>
      <c r="I419" s="97"/>
      <c r="J419" s="98"/>
      <c r="K419" s="101"/>
      <c r="L419" s="124"/>
      <c r="M419" s="333"/>
      <c r="N419" s="341"/>
      <c r="O419" s="190"/>
      <c r="P419" s="191"/>
      <c r="Q419" s="190"/>
      <c r="R419" s="191"/>
      <c r="S419" s="294"/>
      <c r="T419" s="300"/>
      <c r="U419" s="306"/>
      <c r="V419" s="308"/>
      <c r="W419" s="248"/>
      <c r="X419" s="342"/>
      <c r="Y419" s="337"/>
      <c r="Z419" s="123"/>
      <c r="AA419" s="83"/>
      <c r="AB419" s="123"/>
      <c r="AC419" s="83"/>
      <c r="AD419" s="123"/>
      <c r="AE419" s="83"/>
      <c r="AF419" s="123"/>
      <c r="AG419" s="243"/>
      <c r="AH419" s="33"/>
      <c r="AI419" s="245"/>
      <c r="AJ419" s="125"/>
      <c r="AK419" s="92"/>
      <c r="AL419" s="126"/>
      <c r="AM419" s="91"/>
      <c r="AN419" s="91"/>
      <c r="AO419" s="197">
        <f t="shared" si="27"/>
        <v>0</v>
      </c>
      <c r="AP419" s="126"/>
      <c r="AQ419" s="217"/>
      <c r="AR419" s="201"/>
      <c r="AS419" s="266"/>
      <c r="AT419" s="94"/>
      <c r="AU419" s="84"/>
      <c r="AV419" s="80"/>
      <c r="AW419" s="81"/>
      <c r="AX419" s="77"/>
      <c r="AY419" s="107"/>
      <c r="AZ419" s="220">
        <f t="shared" si="24"/>
        <v>0</v>
      </c>
      <c r="BA419" s="220">
        <f t="shared" si="25"/>
        <v>0</v>
      </c>
    </row>
    <row r="420" spans="1:53" ht="50.1" customHeight="1" x14ac:dyDescent="0.25">
      <c r="A420" s="17">
        <f t="shared" si="26"/>
        <v>406</v>
      </c>
      <c r="B420" s="229"/>
      <c r="C420" s="222"/>
      <c r="D420" s="112"/>
      <c r="E420" s="128"/>
      <c r="F420" s="183"/>
      <c r="G420" s="130"/>
      <c r="H420" s="131"/>
      <c r="I420" s="132"/>
      <c r="J420" s="189"/>
      <c r="K420" s="133"/>
      <c r="L420" s="134"/>
      <c r="M420" s="334"/>
      <c r="N420" s="343"/>
      <c r="O420" s="193"/>
      <c r="P420" s="191"/>
      <c r="Q420" s="193"/>
      <c r="R420" s="191"/>
      <c r="S420" s="296"/>
      <c r="T420" s="302"/>
      <c r="U420" s="306"/>
      <c r="V420" s="308"/>
      <c r="W420" s="249"/>
      <c r="X420" s="344"/>
      <c r="Y420" s="337"/>
      <c r="Z420" s="33"/>
      <c r="AA420" s="83"/>
      <c r="AB420" s="33"/>
      <c r="AC420" s="83"/>
      <c r="AD420" s="33"/>
      <c r="AE420" s="83"/>
      <c r="AF420" s="33"/>
      <c r="AG420" s="244"/>
      <c r="AH420" s="83"/>
      <c r="AI420" s="246"/>
      <c r="AJ420" s="102"/>
      <c r="AK420" s="92"/>
      <c r="AL420" s="91"/>
      <c r="AM420" s="92"/>
      <c r="AN420" s="351"/>
      <c r="AO420" s="197">
        <f t="shared" si="27"/>
        <v>0</v>
      </c>
      <c r="AP420" s="91"/>
      <c r="AQ420" s="217"/>
      <c r="AR420" s="196"/>
      <c r="AS420" s="265"/>
      <c r="AT420" s="94"/>
      <c r="AU420" s="84"/>
      <c r="AV420" s="136"/>
      <c r="AW420" s="81"/>
      <c r="AX420" s="137"/>
      <c r="AY420" s="138"/>
      <c r="AZ420" s="220">
        <f t="shared" si="24"/>
        <v>0</v>
      </c>
      <c r="BA420" s="220">
        <f t="shared" si="25"/>
        <v>0</v>
      </c>
    </row>
    <row r="421" spans="1:53" ht="50.1" customHeight="1" x14ac:dyDescent="0.25">
      <c r="A421" s="17">
        <f t="shared" si="26"/>
        <v>407</v>
      </c>
      <c r="B421" s="228"/>
      <c r="C421" s="221"/>
      <c r="D421" s="88"/>
      <c r="E421" s="100"/>
      <c r="F421" s="95"/>
      <c r="G421" s="114"/>
      <c r="H421" s="96"/>
      <c r="I421" s="97"/>
      <c r="J421" s="98"/>
      <c r="K421" s="101"/>
      <c r="L421" s="124"/>
      <c r="M421" s="333"/>
      <c r="N421" s="341"/>
      <c r="O421" s="190"/>
      <c r="P421" s="191"/>
      <c r="Q421" s="190"/>
      <c r="R421" s="191"/>
      <c r="S421" s="294"/>
      <c r="T421" s="300"/>
      <c r="U421" s="306"/>
      <c r="V421" s="308"/>
      <c r="W421" s="248"/>
      <c r="X421" s="342"/>
      <c r="Y421" s="337"/>
      <c r="Z421" s="123"/>
      <c r="AA421" s="83"/>
      <c r="AB421" s="123"/>
      <c r="AC421" s="83"/>
      <c r="AD421" s="123"/>
      <c r="AE421" s="83"/>
      <c r="AF421" s="123"/>
      <c r="AG421" s="243"/>
      <c r="AH421" s="33"/>
      <c r="AI421" s="245"/>
      <c r="AJ421" s="125"/>
      <c r="AK421" s="92"/>
      <c r="AL421" s="126"/>
      <c r="AM421" s="91"/>
      <c r="AN421" s="91"/>
      <c r="AO421" s="197">
        <f t="shared" si="27"/>
        <v>0</v>
      </c>
      <c r="AP421" s="126"/>
      <c r="AQ421" s="217"/>
      <c r="AR421" s="201"/>
      <c r="AS421" s="266"/>
      <c r="AT421" s="94"/>
      <c r="AU421" s="84"/>
      <c r="AV421" s="80"/>
      <c r="AW421" s="81"/>
      <c r="AX421" s="77"/>
      <c r="AY421" s="107"/>
      <c r="AZ421" s="220">
        <f t="shared" si="24"/>
        <v>0</v>
      </c>
      <c r="BA421" s="220">
        <f t="shared" si="25"/>
        <v>0</v>
      </c>
    </row>
    <row r="422" spans="1:53" ht="50.1" customHeight="1" x14ac:dyDescent="0.25">
      <c r="A422" s="17">
        <f t="shared" si="26"/>
        <v>408</v>
      </c>
      <c r="B422" s="229"/>
      <c r="C422" s="222"/>
      <c r="D422" s="112"/>
      <c r="E422" s="128"/>
      <c r="F422" s="183"/>
      <c r="G422" s="130"/>
      <c r="H422" s="131"/>
      <c r="I422" s="132"/>
      <c r="J422" s="189"/>
      <c r="K422" s="133"/>
      <c r="L422" s="134"/>
      <c r="M422" s="334"/>
      <c r="N422" s="343"/>
      <c r="O422" s="193"/>
      <c r="P422" s="191"/>
      <c r="Q422" s="193"/>
      <c r="R422" s="191"/>
      <c r="S422" s="296"/>
      <c r="T422" s="302"/>
      <c r="U422" s="306"/>
      <c r="V422" s="308"/>
      <c r="W422" s="249"/>
      <c r="X422" s="344"/>
      <c r="Y422" s="337"/>
      <c r="Z422" s="33"/>
      <c r="AA422" s="83"/>
      <c r="AB422" s="33"/>
      <c r="AC422" s="83"/>
      <c r="AD422" s="33"/>
      <c r="AE422" s="83"/>
      <c r="AF422" s="33"/>
      <c r="AG422" s="244"/>
      <c r="AH422" s="83"/>
      <c r="AI422" s="246"/>
      <c r="AJ422" s="102"/>
      <c r="AK422" s="92"/>
      <c r="AL422" s="91"/>
      <c r="AM422" s="92"/>
      <c r="AN422" s="351"/>
      <c r="AO422" s="197">
        <f t="shared" si="27"/>
        <v>0</v>
      </c>
      <c r="AP422" s="91"/>
      <c r="AQ422" s="217"/>
      <c r="AR422" s="196"/>
      <c r="AS422" s="265"/>
      <c r="AT422" s="94"/>
      <c r="AU422" s="84"/>
      <c r="AV422" s="136"/>
      <c r="AW422" s="81"/>
      <c r="AX422" s="137"/>
      <c r="AY422" s="138"/>
      <c r="AZ422" s="220">
        <f t="shared" si="24"/>
        <v>0</v>
      </c>
      <c r="BA422" s="220">
        <f t="shared" si="25"/>
        <v>0</v>
      </c>
    </row>
    <row r="423" spans="1:53" ht="50.1" customHeight="1" x14ac:dyDescent="0.25">
      <c r="A423" s="17">
        <f t="shared" si="26"/>
        <v>409</v>
      </c>
      <c r="B423" s="228"/>
      <c r="C423" s="221"/>
      <c r="D423" s="88"/>
      <c r="E423" s="100"/>
      <c r="F423" s="95"/>
      <c r="G423" s="114"/>
      <c r="H423" s="96"/>
      <c r="I423" s="97"/>
      <c r="J423" s="98"/>
      <c r="K423" s="101"/>
      <c r="L423" s="124"/>
      <c r="M423" s="333"/>
      <c r="N423" s="341"/>
      <c r="O423" s="190"/>
      <c r="P423" s="191"/>
      <c r="Q423" s="190"/>
      <c r="R423" s="191"/>
      <c r="S423" s="294"/>
      <c r="T423" s="300"/>
      <c r="U423" s="306"/>
      <c r="V423" s="308"/>
      <c r="W423" s="248"/>
      <c r="X423" s="342"/>
      <c r="Y423" s="337"/>
      <c r="Z423" s="123"/>
      <c r="AA423" s="83"/>
      <c r="AB423" s="123"/>
      <c r="AC423" s="83"/>
      <c r="AD423" s="123"/>
      <c r="AE423" s="83"/>
      <c r="AF423" s="123"/>
      <c r="AG423" s="243"/>
      <c r="AH423" s="33"/>
      <c r="AI423" s="245"/>
      <c r="AJ423" s="125"/>
      <c r="AK423" s="92"/>
      <c r="AL423" s="126"/>
      <c r="AM423" s="91"/>
      <c r="AN423" s="91"/>
      <c r="AO423" s="197">
        <f t="shared" si="27"/>
        <v>0</v>
      </c>
      <c r="AP423" s="126"/>
      <c r="AQ423" s="217"/>
      <c r="AR423" s="201"/>
      <c r="AS423" s="266"/>
      <c r="AT423" s="94"/>
      <c r="AU423" s="84"/>
      <c r="AV423" s="80"/>
      <c r="AW423" s="81"/>
      <c r="AX423" s="77"/>
      <c r="AY423" s="107"/>
      <c r="AZ423" s="220">
        <f t="shared" si="24"/>
        <v>0</v>
      </c>
      <c r="BA423" s="220">
        <f t="shared" si="25"/>
        <v>0</v>
      </c>
    </row>
    <row r="424" spans="1:53" ht="50.1" customHeight="1" x14ac:dyDescent="0.25">
      <c r="A424" s="17">
        <f t="shared" si="26"/>
        <v>410</v>
      </c>
      <c r="B424" s="229"/>
      <c r="C424" s="222"/>
      <c r="D424" s="112"/>
      <c r="E424" s="128"/>
      <c r="F424" s="183"/>
      <c r="G424" s="130"/>
      <c r="H424" s="131"/>
      <c r="I424" s="132"/>
      <c r="J424" s="189"/>
      <c r="K424" s="133"/>
      <c r="L424" s="134"/>
      <c r="M424" s="334"/>
      <c r="N424" s="343"/>
      <c r="O424" s="193"/>
      <c r="P424" s="191"/>
      <c r="Q424" s="193"/>
      <c r="R424" s="191"/>
      <c r="S424" s="296"/>
      <c r="T424" s="302"/>
      <c r="U424" s="306"/>
      <c r="V424" s="308"/>
      <c r="W424" s="249"/>
      <c r="X424" s="344"/>
      <c r="Y424" s="337"/>
      <c r="Z424" s="33"/>
      <c r="AA424" s="83"/>
      <c r="AB424" s="33"/>
      <c r="AC424" s="83"/>
      <c r="AD424" s="33"/>
      <c r="AE424" s="83"/>
      <c r="AF424" s="33"/>
      <c r="AG424" s="244"/>
      <c r="AH424" s="83"/>
      <c r="AI424" s="246"/>
      <c r="AJ424" s="195"/>
      <c r="AK424" s="92"/>
      <c r="AL424" s="91"/>
      <c r="AM424" s="92"/>
      <c r="AN424" s="351"/>
      <c r="AO424" s="197">
        <f t="shared" si="27"/>
        <v>0</v>
      </c>
      <c r="AP424" s="91"/>
      <c r="AQ424" s="217"/>
      <c r="AR424" s="196"/>
      <c r="AS424" s="265"/>
      <c r="AT424" s="94"/>
      <c r="AU424" s="84"/>
      <c r="AV424" s="136"/>
      <c r="AW424" s="81"/>
      <c r="AX424" s="137"/>
      <c r="AY424" s="138"/>
      <c r="AZ424" s="220">
        <f t="shared" si="24"/>
        <v>0</v>
      </c>
      <c r="BA424" s="220">
        <f t="shared" si="25"/>
        <v>0</v>
      </c>
    </row>
    <row r="425" spans="1:53" ht="50.1" customHeight="1" x14ac:dyDescent="0.25">
      <c r="A425" s="17">
        <f t="shared" si="26"/>
        <v>411</v>
      </c>
      <c r="B425" s="228"/>
      <c r="C425" s="221"/>
      <c r="D425" s="88"/>
      <c r="E425" s="100"/>
      <c r="F425" s="95"/>
      <c r="G425" s="114"/>
      <c r="H425" s="96"/>
      <c r="I425" s="97"/>
      <c r="J425" s="98"/>
      <c r="K425" s="101"/>
      <c r="L425" s="124"/>
      <c r="M425" s="333"/>
      <c r="N425" s="341"/>
      <c r="O425" s="190"/>
      <c r="P425" s="191"/>
      <c r="Q425" s="190"/>
      <c r="R425" s="191"/>
      <c r="S425" s="294"/>
      <c r="T425" s="300"/>
      <c r="U425" s="306"/>
      <c r="V425" s="308"/>
      <c r="W425" s="248"/>
      <c r="X425" s="342"/>
      <c r="Y425" s="337"/>
      <c r="Z425" s="123"/>
      <c r="AA425" s="83"/>
      <c r="AB425" s="123"/>
      <c r="AC425" s="83"/>
      <c r="AD425" s="123"/>
      <c r="AE425" s="83"/>
      <c r="AF425" s="123"/>
      <c r="AG425" s="243"/>
      <c r="AH425" s="33"/>
      <c r="AI425" s="245"/>
      <c r="AJ425" s="125"/>
      <c r="AK425" s="92"/>
      <c r="AL425" s="126"/>
      <c r="AM425" s="91"/>
      <c r="AN425" s="91"/>
      <c r="AO425" s="197">
        <f t="shared" si="27"/>
        <v>0</v>
      </c>
      <c r="AP425" s="126"/>
      <c r="AQ425" s="217"/>
      <c r="AR425" s="201"/>
      <c r="AS425" s="266"/>
      <c r="AT425" s="94"/>
      <c r="AU425" s="84"/>
      <c r="AV425" s="80"/>
      <c r="AW425" s="81"/>
      <c r="AX425" s="77"/>
      <c r="AY425" s="107"/>
      <c r="AZ425" s="220">
        <f t="shared" si="24"/>
        <v>0</v>
      </c>
      <c r="BA425" s="220">
        <f t="shared" si="25"/>
        <v>0</v>
      </c>
    </row>
    <row r="426" spans="1:53" ht="50.1" customHeight="1" x14ac:dyDescent="0.25">
      <c r="A426" s="17">
        <f t="shared" si="26"/>
        <v>412</v>
      </c>
      <c r="B426" s="229"/>
      <c r="C426" s="222"/>
      <c r="D426" s="112"/>
      <c r="E426" s="128"/>
      <c r="F426" s="183"/>
      <c r="G426" s="130"/>
      <c r="H426" s="131"/>
      <c r="I426" s="132"/>
      <c r="J426" s="189"/>
      <c r="K426" s="133"/>
      <c r="L426" s="134"/>
      <c r="M426" s="334"/>
      <c r="N426" s="343"/>
      <c r="O426" s="193"/>
      <c r="P426" s="191"/>
      <c r="Q426" s="193"/>
      <c r="R426" s="191"/>
      <c r="S426" s="296"/>
      <c r="T426" s="302"/>
      <c r="U426" s="306"/>
      <c r="V426" s="308"/>
      <c r="W426" s="249"/>
      <c r="X426" s="344"/>
      <c r="Y426" s="337"/>
      <c r="Z426" s="33"/>
      <c r="AA426" s="83"/>
      <c r="AB426" s="33"/>
      <c r="AC426" s="83"/>
      <c r="AD426" s="33"/>
      <c r="AE426" s="83"/>
      <c r="AF426" s="33"/>
      <c r="AG426" s="244"/>
      <c r="AH426" s="83"/>
      <c r="AI426" s="246"/>
      <c r="AJ426" s="102"/>
      <c r="AK426" s="92"/>
      <c r="AL426" s="91"/>
      <c r="AM426" s="92"/>
      <c r="AN426" s="351"/>
      <c r="AO426" s="197">
        <f t="shared" si="27"/>
        <v>0</v>
      </c>
      <c r="AP426" s="91"/>
      <c r="AQ426" s="217"/>
      <c r="AR426" s="196"/>
      <c r="AS426" s="265"/>
      <c r="AT426" s="94"/>
      <c r="AU426" s="84"/>
      <c r="AV426" s="136"/>
      <c r="AW426" s="81"/>
      <c r="AX426" s="137"/>
      <c r="AY426" s="138"/>
      <c r="AZ426" s="220">
        <f t="shared" si="24"/>
        <v>0</v>
      </c>
      <c r="BA426" s="220">
        <f t="shared" si="25"/>
        <v>0</v>
      </c>
    </row>
    <row r="427" spans="1:53" ht="50.1" customHeight="1" x14ac:dyDescent="0.25">
      <c r="A427" s="17">
        <f t="shared" si="26"/>
        <v>413</v>
      </c>
      <c r="B427" s="228"/>
      <c r="C427" s="221"/>
      <c r="D427" s="88"/>
      <c r="E427" s="100"/>
      <c r="F427" s="95"/>
      <c r="G427" s="114"/>
      <c r="H427" s="96"/>
      <c r="I427" s="97"/>
      <c r="J427" s="98"/>
      <c r="K427" s="101"/>
      <c r="L427" s="124"/>
      <c r="M427" s="333"/>
      <c r="N427" s="341"/>
      <c r="O427" s="190"/>
      <c r="P427" s="191"/>
      <c r="Q427" s="190"/>
      <c r="R427" s="191"/>
      <c r="S427" s="294"/>
      <c r="T427" s="300"/>
      <c r="U427" s="306"/>
      <c r="V427" s="308"/>
      <c r="W427" s="248"/>
      <c r="X427" s="342"/>
      <c r="Y427" s="337"/>
      <c r="Z427" s="123"/>
      <c r="AA427" s="83"/>
      <c r="AB427" s="123"/>
      <c r="AC427" s="83"/>
      <c r="AD427" s="123"/>
      <c r="AE427" s="83"/>
      <c r="AF427" s="123"/>
      <c r="AG427" s="243"/>
      <c r="AH427" s="33"/>
      <c r="AI427" s="245"/>
      <c r="AJ427" s="125"/>
      <c r="AK427" s="92"/>
      <c r="AL427" s="126"/>
      <c r="AM427" s="91"/>
      <c r="AN427" s="91"/>
      <c r="AO427" s="197">
        <f t="shared" si="27"/>
        <v>0</v>
      </c>
      <c r="AP427" s="126"/>
      <c r="AQ427" s="217"/>
      <c r="AR427" s="201"/>
      <c r="AS427" s="266"/>
      <c r="AT427" s="94"/>
      <c r="AU427" s="84"/>
      <c r="AV427" s="80"/>
      <c r="AW427" s="81"/>
      <c r="AX427" s="77"/>
      <c r="AY427" s="107"/>
      <c r="AZ427" s="220">
        <f t="shared" si="24"/>
        <v>0</v>
      </c>
      <c r="BA427" s="220">
        <f t="shared" si="25"/>
        <v>0</v>
      </c>
    </row>
    <row r="428" spans="1:53" ht="50.1" customHeight="1" x14ac:dyDescent="0.25">
      <c r="A428" s="17">
        <f t="shared" si="26"/>
        <v>414</v>
      </c>
      <c r="B428" s="229"/>
      <c r="C428" s="222"/>
      <c r="D428" s="112"/>
      <c r="E428" s="128"/>
      <c r="F428" s="183"/>
      <c r="G428" s="130"/>
      <c r="H428" s="131"/>
      <c r="I428" s="132"/>
      <c r="J428" s="189"/>
      <c r="K428" s="133"/>
      <c r="L428" s="134"/>
      <c r="M428" s="334"/>
      <c r="N428" s="343"/>
      <c r="O428" s="193"/>
      <c r="P428" s="191"/>
      <c r="Q428" s="193"/>
      <c r="R428" s="191"/>
      <c r="S428" s="296"/>
      <c r="T428" s="302"/>
      <c r="U428" s="306"/>
      <c r="V428" s="308"/>
      <c r="W428" s="249"/>
      <c r="X428" s="344"/>
      <c r="Y428" s="337"/>
      <c r="Z428" s="33"/>
      <c r="AA428" s="83"/>
      <c r="AB428" s="33"/>
      <c r="AC428" s="83"/>
      <c r="AD428" s="33"/>
      <c r="AE428" s="83"/>
      <c r="AF428" s="33"/>
      <c r="AG428" s="244"/>
      <c r="AH428" s="83"/>
      <c r="AI428" s="246"/>
      <c r="AJ428" s="102"/>
      <c r="AK428" s="92"/>
      <c r="AL428" s="91"/>
      <c r="AM428" s="92"/>
      <c r="AN428" s="351"/>
      <c r="AO428" s="197">
        <f t="shared" si="27"/>
        <v>0</v>
      </c>
      <c r="AP428" s="91"/>
      <c r="AQ428" s="217"/>
      <c r="AR428" s="196"/>
      <c r="AS428" s="265"/>
      <c r="AT428" s="94"/>
      <c r="AU428" s="84"/>
      <c r="AV428" s="136"/>
      <c r="AW428" s="81"/>
      <c r="AX428" s="137"/>
      <c r="AY428" s="138"/>
      <c r="AZ428" s="220">
        <f t="shared" si="24"/>
        <v>0</v>
      </c>
      <c r="BA428" s="220">
        <f t="shared" si="25"/>
        <v>0</v>
      </c>
    </row>
    <row r="429" spans="1:53" ht="50.1" customHeight="1" x14ac:dyDescent="0.25">
      <c r="A429" s="17">
        <f t="shared" si="26"/>
        <v>415</v>
      </c>
      <c r="B429" s="228"/>
      <c r="C429" s="221"/>
      <c r="D429" s="88"/>
      <c r="E429" s="100"/>
      <c r="F429" s="95"/>
      <c r="G429" s="114"/>
      <c r="H429" s="96"/>
      <c r="I429" s="97"/>
      <c r="J429" s="98"/>
      <c r="K429" s="101"/>
      <c r="L429" s="124"/>
      <c r="M429" s="333"/>
      <c r="N429" s="341"/>
      <c r="O429" s="190"/>
      <c r="P429" s="191"/>
      <c r="Q429" s="190"/>
      <c r="R429" s="191"/>
      <c r="S429" s="294"/>
      <c r="T429" s="300"/>
      <c r="U429" s="306"/>
      <c r="V429" s="308"/>
      <c r="W429" s="248"/>
      <c r="X429" s="342"/>
      <c r="Y429" s="337"/>
      <c r="Z429" s="123"/>
      <c r="AA429" s="83"/>
      <c r="AB429" s="123"/>
      <c r="AC429" s="83"/>
      <c r="AD429" s="123"/>
      <c r="AE429" s="83"/>
      <c r="AF429" s="123"/>
      <c r="AG429" s="243"/>
      <c r="AH429" s="33"/>
      <c r="AI429" s="245"/>
      <c r="AJ429" s="125"/>
      <c r="AK429" s="92"/>
      <c r="AL429" s="126"/>
      <c r="AM429" s="91"/>
      <c r="AN429" s="91"/>
      <c r="AO429" s="197">
        <f t="shared" si="27"/>
        <v>0</v>
      </c>
      <c r="AP429" s="126"/>
      <c r="AQ429" s="217"/>
      <c r="AR429" s="201"/>
      <c r="AS429" s="266"/>
      <c r="AT429" s="94"/>
      <c r="AU429" s="84"/>
      <c r="AV429" s="80"/>
      <c r="AW429" s="81"/>
      <c r="AX429" s="77"/>
      <c r="AY429" s="107"/>
      <c r="AZ429" s="220">
        <f t="shared" si="24"/>
        <v>0</v>
      </c>
      <c r="BA429" s="220">
        <f t="shared" si="25"/>
        <v>0</v>
      </c>
    </row>
    <row r="430" spans="1:53" ht="50.1" customHeight="1" x14ac:dyDescent="0.25">
      <c r="A430" s="17">
        <f t="shared" si="26"/>
        <v>416</v>
      </c>
      <c r="B430" s="229"/>
      <c r="C430" s="222"/>
      <c r="D430" s="112"/>
      <c r="E430" s="128"/>
      <c r="F430" s="183"/>
      <c r="G430" s="130"/>
      <c r="H430" s="131"/>
      <c r="I430" s="132"/>
      <c r="J430" s="189"/>
      <c r="K430" s="133"/>
      <c r="L430" s="134"/>
      <c r="M430" s="334"/>
      <c r="N430" s="343"/>
      <c r="O430" s="193"/>
      <c r="P430" s="191"/>
      <c r="Q430" s="193"/>
      <c r="R430" s="191"/>
      <c r="S430" s="296"/>
      <c r="T430" s="302"/>
      <c r="U430" s="306"/>
      <c r="V430" s="308"/>
      <c r="W430" s="249"/>
      <c r="X430" s="344"/>
      <c r="Y430" s="337"/>
      <c r="Z430" s="33"/>
      <c r="AA430" s="83"/>
      <c r="AB430" s="33"/>
      <c r="AC430" s="83"/>
      <c r="AD430" s="33"/>
      <c r="AE430" s="83"/>
      <c r="AF430" s="33"/>
      <c r="AG430" s="244"/>
      <c r="AH430" s="83"/>
      <c r="AI430" s="246"/>
      <c r="AJ430" s="102"/>
      <c r="AK430" s="92"/>
      <c r="AL430" s="91"/>
      <c r="AM430" s="92"/>
      <c r="AN430" s="351"/>
      <c r="AO430" s="197">
        <f t="shared" si="27"/>
        <v>0</v>
      </c>
      <c r="AP430" s="91"/>
      <c r="AQ430" s="217"/>
      <c r="AR430" s="196"/>
      <c r="AS430" s="265"/>
      <c r="AT430" s="94"/>
      <c r="AU430" s="84"/>
      <c r="AV430" s="136"/>
      <c r="AW430" s="81"/>
      <c r="AX430" s="137"/>
      <c r="AY430" s="138"/>
      <c r="AZ430" s="220">
        <f t="shared" si="24"/>
        <v>0</v>
      </c>
      <c r="BA430" s="220">
        <f t="shared" si="25"/>
        <v>0</v>
      </c>
    </row>
    <row r="431" spans="1:53" ht="50.1" customHeight="1" x14ac:dyDescent="0.25">
      <c r="A431" s="17">
        <f t="shared" si="26"/>
        <v>417</v>
      </c>
      <c r="B431" s="228"/>
      <c r="C431" s="221"/>
      <c r="D431" s="88"/>
      <c r="E431" s="100"/>
      <c r="F431" s="95"/>
      <c r="G431" s="114"/>
      <c r="H431" s="96"/>
      <c r="I431" s="97"/>
      <c r="J431" s="98"/>
      <c r="K431" s="101"/>
      <c r="L431" s="124"/>
      <c r="M431" s="333"/>
      <c r="N431" s="341"/>
      <c r="O431" s="190"/>
      <c r="P431" s="191"/>
      <c r="Q431" s="190"/>
      <c r="R431" s="191"/>
      <c r="S431" s="294"/>
      <c r="T431" s="300"/>
      <c r="U431" s="306"/>
      <c r="V431" s="308"/>
      <c r="W431" s="248"/>
      <c r="X431" s="342"/>
      <c r="Y431" s="337"/>
      <c r="Z431" s="123"/>
      <c r="AA431" s="83"/>
      <c r="AB431" s="123"/>
      <c r="AC431" s="83"/>
      <c r="AD431" s="123"/>
      <c r="AE431" s="83"/>
      <c r="AF431" s="123"/>
      <c r="AG431" s="243"/>
      <c r="AH431" s="33"/>
      <c r="AI431" s="245"/>
      <c r="AJ431" s="125"/>
      <c r="AK431" s="92"/>
      <c r="AL431" s="126"/>
      <c r="AM431" s="91"/>
      <c r="AN431" s="91"/>
      <c r="AO431" s="197">
        <f t="shared" si="27"/>
        <v>0</v>
      </c>
      <c r="AP431" s="126"/>
      <c r="AQ431" s="217"/>
      <c r="AR431" s="201"/>
      <c r="AS431" s="266"/>
      <c r="AT431" s="94"/>
      <c r="AU431" s="84"/>
      <c r="AV431" s="80"/>
      <c r="AW431" s="81"/>
      <c r="AX431" s="77"/>
      <c r="AY431" s="107"/>
      <c r="AZ431" s="220">
        <f t="shared" si="24"/>
        <v>0</v>
      </c>
      <c r="BA431" s="220">
        <f t="shared" si="25"/>
        <v>0</v>
      </c>
    </row>
    <row r="432" spans="1:53" ht="50.1" customHeight="1" x14ac:dyDescent="0.25">
      <c r="A432" s="17">
        <f t="shared" si="26"/>
        <v>418</v>
      </c>
      <c r="B432" s="229"/>
      <c r="C432" s="222"/>
      <c r="D432" s="112"/>
      <c r="E432" s="100"/>
      <c r="F432" s="183"/>
      <c r="G432" s="130"/>
      <c r="H432" s="131"/>
      <c r="I432" s="132"/>
      <c r="J432" s="189"/>
      <c r="K432" s="133"/>
      <c r="L432" s="134"/>
      <c r="M432" s="334"/>
      <c r="N432" s="343"/>
      <c r="O432" s="193"/>
      <c r="P432" s="191"/>
      <c r="Q432" s="193"/>
      <c r="R432" s="191"/>
      <c r="S432" s="296"/>
      <c r="T432" s="302"/>
      <c r="U432" s="306"/>
      <c r="V432" s="308"/>
      <c r="W432" s="249"/>
      <c r="X432" s="345"/>
      <c r="Y432" s="337"/>
      <c r="Z432" s="33"/>
      <c r="AA432" s="83"/>
      <c r="AB432" s="33"/>
      <c r="AC432" s="83"/>
      <c r="AD432" s="33"/>
      <c r="AE432" s="83"/>
      <c r="AF432" s="33"/>
      <c r="AG432" s="244"/>
      <c r="AH432" s="83"/>
      <c r="AI432" s="246"/>
      <c r="AJ432" s="102"/>
      <c r="AK432" s="92"/>
      <c r="AL432" s="91"/>
      <c r="AM432" s="92"/>
      <c r="AN432" s="351"/>
      <c r="AO432" s="197">
        <f t="shared" si="27"/>
        <v>0</v>
      </c>
      <c r="AP432" s="91"/>
      <c r="AQ432" s="217"/>
      <c r="AR432" s="196"/>
      <c r="AS432" s="265"/>
      <c r="AT432" s="94"/>
      <c r="AU432" s="84"/>
      <c r="AV432" s="136"/>
      <c r="AW432" s="81"/>
      <c r="AX432" s="137"/>
      <c r="AY432" s="138"/>
      <c r="AZ432" s="220">
        <f t="shared" si="24"/>
        <v>0</v>
      </c>
      <c r="BA432" s="220">
        <f t="shared" si="25"/>
        <v>0</v>
      </c>
    </row>
    <row r="433" spans="1:53" ht="50.1" customHeight="1" x14ac:dyDescent="0.25">
      <c r="A433" s="17">
        <f t="shared" si="26"/>
        <v>419</v>
      </c>
      <c r="B433" s="228"/>
      <c r="C433" s="221"/>
      <c r="D433" s="88"/>
      <c r="E433" s="128"/>
      <c r="F433" s="95"/>
      <c r="G433" s="114"/>
      <c r="H433" s="96"/>
      <c r="I433" s="97"/>
      <c r="J433" s="98"/>
      <c r="K433" s="101"/>
      <c r="L433" s="124"/>
      <c r="M433" s="333"/>
      <c r="N433" s="341"/>
      <c r="O433" s="190"/>
      <c r="P433" s="191"/>
      <c r="Q433" s="190"/>
      <c r="R433" s="191"/>
      <c r="S433" s="294"/>
      <c r="T433" s="300"/>
      <c r="U433" s="306"/>
      <c r="V433" s="308"/>
      <c r="W433" s="248"/>
      <c r="X433" s="342"/>
      <c r="Y433" s="337"/>
      <c r="Z433" s="123"/>
      <c r="AA433" s="83"/>
      <c r="AB433" s="123"/>
      <c r="AC433" s="83"/>
      <c r="AD433" s="123"/>
      <c r="AE433" s="83"/>
      <c r="AF433" s="123"/>
      <c r="AG433" s="243"/>
      <c r="AH433" s="33"/>
      <c r="AI433" s="245"/>
      <c r="AJ433" s="125"/>
      <c r="AK433" s="92"/>
      <c r="AL433" s="126"/>
      <c r="AM433" s="91"/>
      <c r="AN433" s="91"/>
      <c r="AO433" s="197">
        <f t="shared" si="27"/>
        <v>0</v>
      </c>
      <c r="AP433" s="126"/>
      <c r="AQ433" s="217"/>
      <c r="AR433" s="201"/>
      <c r="AS433" s="266"/>
      <c r="AT433" s="94"/>
      <c r="AU433" s="84"/>
      <c r="AV433" s="80"/>
      <c r="AW433" s="81"/>
      <c r="AX433" s="77"/>
      <c r="AY433" s="107"/>
      <c r="AZ433" s="220">
        <f t="shared" si="24"/>
        <v>0</v>
      </c>
      <c r="BA433" s="220">
        <f t="shared" si="25"/>
        <v>0</v>
      </c>
    </row>
    <row r="434" spans="1:53" ht="50.1" customHeight="1" x14ac:dyDescent="0.25">
      <c r="A434" s="17">
        <f t="shared" si="26"/>
        <v>420</v>
      </c>
      <c r="B434" s="229"/>
      <c r="C434" s="222"/>
      <c r="D434" s="112"/>
      <c r="E434" s="128"/>
      <c r="F434" s="129"/>
      <c r="G434" s="130"/>
      <c r="H434" s="131"/>
      <c r="I434" s="132"/>
      <c r="J434" s="189"/>
      <c r="K434" s="133"/>
      <c r="L434" s="134"/>
      <c r="M434" s="334"/>
      <c r="N434" s="343"/>
      <c r="O434" s="194"/>
      <c r="P434" s="190"/>
      <c r="Q434" s="194"/>
      <c r="R434" s="190"/>
      <c r="S434" s="297"/>
      <c r="T434" s="303"/>
      <c r="U434" s="294"/>
      <c r="V434" s="300"/>
      <c r="W434" s="249"/>
      <c r="X434" s="344"/>
      <c r="Y434" s="337"/>
      <c r="Z434" s="33"/>
      <c r="AA434" s="83"/>
      <c r="AB434" s="33"/>
      <c r="AC434" s="83"/>
      <c r="AD434" s="33"/>
      <c r="AE434" s="83"/>
      <c r="AF434" s="33"/>
      <c r="AG434" s="244"/>
      <c r="AH434" s="83"/>
      <c r="AI434" s="246"/>
      <c r="AJ434" s="102"/>
      <c r="AK434" s="92"/>
      <c r="AL434" s="91"/>
      <c r="AM434" s="92"/>
      <c r="AN434" s="351"/>
      <c r="AO434" s="197">
        <f t="shared" si="27"/>
        <v>0</v>
      </c>
      <c r="AP434" s="91"/>
      <c r="AQ434" s="217"/>
      <c r="AR434" s="103"/>
      <c r="AS434" s="264"/>
      <c r="AT434" s="94"/>
      <c r="AU434" s="84"/>
      <c r="AV434" s="136"/>
      <c r="AW434" s="81"/>
      <c r="AX434" s="137"/>
      <c r="AY434" s="138"/>
      <c r="AZ434" s="220">
        <f t="shared" si="24"/>
        <v>0</v>
      </c>
      <c r="BA434" s="220">
        <f t="shared" si="25"/>
        <v>0</v>
      </c>
    </row>
    <row r="435" spans="1:53" ht="50.1" customHeight="1" x14ac:dyDescent="0.25">
      <c r="A435" s="17">
        <f t="shared" si="26"/>
        <v>421</v>
      </c>
      <c r="B435" s="228"/>
      <c r="C435" s="221"/>
      <c r="D435" s="88"/>
      <c r="E435" s="100"/>
      <c r="F435" s="95"/>
      <c r="G435" s="114"/>
      <c r="H435" s="96"/>
      <c r="I435" s="97"/>
      <c r="J435" s="98"/>
      <c r="K435" s="101"/>
      <c r="L435" s="124"/>
      <c r="M435" s="333"/>
      <c r="N435" s="341"/>
      <c r="O435" s="190"/>
      <c r="P435" s="191"/>
      <c r="Q435" s="190"/>
      <c r="R435" s="191"/>
      <c r="S435" s="294"/>
      <c r="T435" s="300"/>
      <c r="U435" s="306"/>
      <c r="V435" s="308"/>
      <c r="W435" s="248"/>
      <c r="X435" s="342"/>
      <c r="Y435" s="337"/>
      <c r="Z435" s="123"/>
      <c r="AA435" s="83"/>
      <c r="AB435" s="123"/>
      <c r="AC435" s="83"/>
      <c r="AD435" s="123"/>
      <c r="AE435" s="83"/>
      <c r="AF435" s="123"/>
      <c r="AG435" s="243"/>
      <c r="AH435" s="33"/>
      <c r="AI435" s="245"/>
      <c r="AJ435" s="125"/>
      <c r="AK435" s="92"/>
      <c r="AL435" s="126"/>
      <c r="AM435" s="91"/>
      <c r="AN435" s="91"/>
      <c r="AO435" s="197">
        <f t="shared" si="27"/>
        <v>0</v>
      </c>
      <c r="AP435" s="126"/>
      <c r="AQ435" s="217"/>
      <c r="AR435" s="201"/>
      <c r="AS435" s="266"/>
      <c r="AT435" s="94"/>
      <c r="AU435" s="84"/>
      <c r="AV435" s="80"/>
      <c r="AW435" s="81"/>
      <c r="AX435" s="77"/>
      <c r="AY435" s="107"/>
      <c r="AZ435" s="220">
        <f t="shared" si="24"/>
        <v>0</v>
      </c>
      <c r="BA435" s="220">
        <f t="shared" si="25"/>
        <v>0</v>
      </c>
    </row>
    <row r="436" spans="1:53" ht="50.1" customHeight="1" x14ac:dyDescent="0.25">
      <c r="A436" s="17">
        <f t="shared" si="26"/>
        <v>422</v>
      </c>
      <c r="B436" s="229"/>
      <c r="C436" s="222"/>
      <c r="D436" s="112"/>
      <c r="E436" s="128"/>
      <c r="F436" s="129"/>
      <c r="G436" s="130"/>
      <c r="H436" s="131"/>
      <c r="I436" s="132"/>
      <c r="J436" s="108"/>
      <c r="K436" s="133"/>
      <c r="L436" s="134"/>
      <c r="M436" s="334"/>
      <c r="N436" s="343"/>
      <c r="O436" s="194"/>
      <c r="P436" s="190"/>
      <c r="Q436" s="194"/>
      <c r="R436" s="190"/>
      <c r="S436" s="297"/>
      <c r="T436" s="303"/>
      <c r="U436" s="294"/>
      <c r="V436" s="300"/>
      <c r="W436" s="249"/>
      <c r="X436" s="344"/>
      <c r="Y436" s="337"/>
      <c r="Z436" s="33"/>
      <c r="AA436" s="83"/>
      <c r="AB436" s="33"/>
      <c r="AC436" s="83"/>
      <c r="AD436" s="33"/>
      <c r="AE436" s="83"/>
      <c r="AF436" s="33"/>
      <c r="AG436" s="244"/>
      <c r="AH436" s="83"/>
      <c r="AI436" s="246"/>
      <c r="AJ436" s="102"/>
      <c r="AK436" s="92"/>
      <c r="AL436" s="91"/>
      <c r="AM436" s="92"/>
      <c r="AN436" s="351"/>
      <c r="AO436" s="197">
        <f t="shared" si="27"/>
        <v>0</v>
      </c>
      <c r="AP436" s="91"/>
      <c r="AQ436" s="217"/>
      <c r="AR436" s="103"/>
      <c r="AS436" s="264"/>
      <c r="AT436" s="94"/>
      <c r="AU436" s="84"/>
      <c r="AV436" s="136"/>
      <c r="AW436" s="81"/>
      <c r="AX436" s="137"/>
      <c r="AY436" s="138"/>
      <c r="AZ436" s="220">
        <f t="shared" si="24"/>
        <v>0</v>
      </c>
      <c r="BA436" s="220">
        <f t="shared" si="25"/>
        <v>0</v>
      </c>
    </row>
    <row r="437" spans="1:53" ht="50.1" customHeight="1" x14ac:dyDescent="0.25">
      <c r="A437" s="17">
        <f t="shared" si="26"/>
        <v>423</v>
      </c>
      <c r="B437" s="228"/>
      <c r="C437" s="221"/>
      <c r="D437" s="88"/>
      <c r="E437" s="100"/>
      <c r="F437" s="95"/>
      <c r="G437" s="114"/>
      <c r="H437" s="96"/>
      <c r="I437" s="97"/>
      <c r="J437" s="98"/>
      <c r="K437" s="101"/>
      <c r="L437" s="124"/>
      <c r="M437" s="333"/>
      <c r="N437" s="341"/>
      <c r="O437" s="190"/>
      <c r="P437" s="191"/>
      <c r="Q437" s="190"/>
      <c r="R437" s="191"/>
      <c r="S437" s="294"/>
      <c r="T437" s="300"/>
      <c r="U437" s="306"/>
      <c r="V437" s="308"/>
      <c r="W437" s="248"/>
      <c r="X437" s="342"/>
      <c r="Y437" s="337"/>
      <c r="Z437" s="123"/>
      <c r="AA437" s="83"/>
      <c r="AB437" s="123"/>
      <c r="AC437" s="83"/>
      <c r="AD437" s="123"/>
      <c r="AE437" s="83"/>
      <c r="AF437" s="123"/>
      <c r="AG437" s="243"/>
      <c r="AH437" s="33"/>
      <c r="AI437" s="245"/>
      <c r="AJ437" s="125"/>
      <c r="AK437" s="92"/>
      <c r="AL437" s="126"/>
      <c r="AM437" s="91"/>
      <c r="AN437" s="91"/>
      <c r="AO437" s="197">
        <f t="shared" si="27"/>
        <v>0</v>
      </c>
      <c r="AP437" s="126"/>
      <c r="AQ437" s="217"/>
      <c r="AR437" s="201"/>
      <c r="AS437" s="266"/>
      <c r="AT437" s="94"/>
      <c r="AU437" s="84"/>
      <c r="AV437" s="80"/>
      <c r="AW437" s="81"/>
      <c r="AX437" s="77"/>
      <c r="AY437" s="107"/>
      <c r="AZ437" s="220">
        <f t="shared" si="24"/>
        <v>0</v>
      </c>
      <c r="BA437" s="220">
        <f t="shared" si="25"/>
        <v>0</v>
      </c>
    </row>
    <row r="438" spans="1:53" ht="50.1" customHeight="1" x14ac:dyDescent="0.25">
      <c r="A438" s="17">
        <f t="shared" si="26"/>
        <v>424</v>
      </c>
      <c r="B438" s="229"/>
      <c r="C438" s="222"/>
      <c r="D438" s="112"/>
      <c r="E438" s="128"/>
      <c r="F438" s="129"/>
      <c r="G438" s="130"/>
      <c r="H438" s="131"/>
      <c r="I438" s="132"/>
      <c r="J438" s="189"/>
      <c r="K438" s="133"/>
      <c r="L438" s="134"/>
      <c r="M438" s="334"/>
      <c r="N438" s="343"/>
      <c r="O438" s="194"/>
      <c r="P438" s="190"/>
      <c r="Q438" s="194"/>
      <c r="R438" s="190"/>
      <c r="S438" s="297"/>
      <c r="T438" s="303"/>
      <c r="U438" s="294"/>
      <c r="V438" s="300"/>
      <c r="W438" s="249"/>
      <c r="X438" s="344"/>
      <c r="Y438" s="337"/>
      <c r="Z438" s="33"/>
      <c r="AA438" s="83"/>
      <c r="AB438" s="33"/>
      <c r="AC438" s="83"/>
      <c r="AD438" s="33"/>
      <c r="AE438" s="83"/>
      <c r="AF438" s="33"/>
      <c r="AG438" s="244"/>
      <c r="AH438" s="83"/>
      <c r="AI438" s="246"/>
      <c r="AJ438" s="102"/>
      <c r="AK438" s="92"/>
      <c r="AL438" s="91"/>
      <c r="AM438" s="92"/>
      <c r="AN438" s="351"/>
      <c r="AO438" s="197">
        <f t="shared" si="27"/>
        <v>0</v>
      </c>
      <c r="AP438" s="91"/>
      <c r="AQ438" s="217"/>
      <c r="AR438" s="103"/>
      <c r="AS438" s="264"/>
      <c r="AT438" s="94"/>
      <c r="AU438" s="84"/>
      <c r="AV438" s="136"/>
      <c r="AW438" s="77"/>
      <c r="AX438" s="137"/>
      <c r="AY438" s="138"/>
      <c r="AZ438" s="220">
        <f t="shared" si="24"/>
        <v>0</v>
      </c>
      <c r="BA438" s="220">
        <f t="shared" si="25"/>
        <v>0</v>
      </c>
    </row>
    <row r="439" spans="1:53" ht="50.1" customHeight="1" x14ac:dyDescent="0.25">
      <c r="A439" s="17">
        <f t="shared" si="26"/>
        <v>425</v>
      </c>
      <c r="B439" s="228"/>
      <c r="C439" s="221"/>
      <c r="D439" s="88"/>
      <c r="E439" s="100"/>
      <c r="F439" s="95"/>
      <c r="G439" s="114"/>
      <c r="H439" s="96"/>
      <c r="I439" s="97"/>
      <c r="J439" s="98"/>
      <c r="K439" s="101"/>
      <c r="L439" s="124"/>
      <c r="M439" s="333"/>
      <c r="N439" s="341"/>
      <c r="O439" s="190"/>
      <c r="P439" s="191"/>
      <c r="Q439" s="190"/>
      <c r="R439" s="191"/>
      <c r="S439" s="294"/>
      <c r="T439" s="300"/>
      <c r="U439" s="306"/>
      <c r="V439" s="308"/>
      <c r="W439" s="248"/>
      <c r="X439" s="342"/>
      <c r="Y439" s="337"/>
      <c r="Z439" s="123"/>
      <c r="AA439" s="83"/>
      <c r="AB439" s="123"/>
      <c r="AC439" s="83"/>
      <c r="AD439" s="123"/>
      <c r="AE439" s="83"/>
      <c r="AF439" s="123"/>
      <c r="AG439" s="243"/>
      <c r="AH439" s="33"/>
      <c r="AI439" s="245"/>
      <c r="AJ439" s="125"/>
      <c r="AK439" s="92"/>
      <c r="AL439" s="126"/>
      <c r="AM439" s="91"/>
      <c r="AN439" s="91"/>
      <c r="AO439" s="197">
        <f t="shared" si="27"/>
        <v>0</v>
      </c>
      <c r="AP439" s="126"/>
      <c r="AQ439" s="217"/>
      <c r="AR439" s="201"/>
      <c r="AS439" s="266"/>
      <c r="AT439" s="94"/>
      <c r="AU439" s="84"/>
      <c r="AV439" s="80"/>
      <c r="AW439" s="81"/>
      <c r="AX439" s="77"/>
      <c r="AY439" s="107"/>
      <c r="AZ439" s="220">
        <f t="shared" si="24"/>
        <v>0</v>
      </c>
      <c r="BA439" s="220">
        <f t="shared" si="25"/>
        <v>0</v>
      </c>
    </row>
    <row r="440" spans="1:53" ht="50.1" customHeight="1" x14ac:dyDescent="0.25">
      <c r="A440" s="17">
        <f t="shared" si="26"/>
        <v>426</v>
      </c>
      <c r="B440" s="229"/>
      <c r="C440" s="222"/>
      <c r="D440" s="112"/>
      <c r="E440" s="128"/>
      <c r="F440" s="129"/>
      <c r="G440" s="130"/>
      <c r="H440" s="131"/>
      <c r="I440" s="132"/>
      <c r="J440" s="108"/>
      <c r="K440" s="133"/>
      <c r="L440" s="134"/>
      <c r="M440" s="334"/>
      <c r="N440" s="343"/>
      <c r="O440" s="194"/>
      <c r="P440" s="190"/>
      <c r="Q440" s="194"/>
      <c r="R440" s="190"/>
      <c r="S440" s="297"/>
      <c r="T440" s="303"/>
      <c r="U440" s="294"/>
      <c r="V440" s="300"/>
      <c r="W440" s="249"/>
      <c r="X440" s="344"/>
      <c r="Y440" s="337"/>
      <c r="Z440" s="33"/>
      <c r="AA440" s="83"/>
      <c r="AB440" s="33"/>
      <c r="AC440" s="83"/>
      <c r="AD440" s="33"/>
      <c r="AE440" s="83"/>
      <c r="AF440" s="33"/>
      <c r="AG440" s="244"/>
      <c r="AH440" s="83"/>
      <c r="AI440" s="246"/>
      <c r="AJ440" s="102"/>
      <c r="AK440" s="92"/>
      <c r="AL440" s="91"/>
      <c r="AM440" s="92"/>
      <c r="AN440" s="351"/>
      <c r="AO440" s="197">
        <f t="shared" si="27"/>
        <v>0</v>
      </c>
      <c r="AP440" s="91"/>
      <c r="AQ440" s="217"/>
      <c r="AR440" s="103"/>
      <c r="AS440" s="264"/>
      <c r="AT440" s="94"/>
      <c r="AU440" s="84"/>
      <c r="AV440" s="136"/>
      <c r="AW440" s="77"/>
      <c r="AX440" s="137"/>
      <c r="AY440" s="138"/>
      <c r="AZ440" s="220">
        <f t="shared" si="24"/>
        <v>0</v>
      </c>
      <c r="BA440" s="220">
        <f t="shared" si="25"/>
        <v>0</v>
      </c>
    </row>
    <row r="441" spans="1:53" ht="50.1" customHeight="1" x14ac:dyDescent="0.25">
      <c r="A441" s="17">
        <f t="shared" si="26"/>
        <v>427</v>
      </c>
      <c r="B441" s="228"/>
      <c r="C441" s="221"/>
      <c r="D441" s="88"/>
      <c r="E441" s="100"/>
      <c r="F441" s="95"/>
      <c r="G441" s="114"/>
      <c r="H441" s="96"/>
      <c r="I441" s="97"/>
      <c r="J441" s="98"/>
      <c r="K441" s="101"/>
      <c r="L441" s="124"/>
      <c r="M441" s="333"/>
      <c r="N441" s="341"/>
      <c r="O441" s="190"/>
      <c r="P441" s="191"/>
      <c r="Q441" s="190"/>
      <c r="R441" s="191"/>
      <c r="S441" s="294"/>
      <c r="T441" s="300"/>
      <c r="U441" s="306"/>
      <c r="V441" s="308"/>
      <c r="W441" s="248"/>
      <c r="X441" s="342"/>
      <c r="Y441" s="337"/>
      <c r="Z441" s="123"/>
      <c r="AA441" s="83"/>
      <c r="AB441" s="123"/>
      <c r="AC441" s="83"/>
      <c r="AD441" s="123"/>
      <c r="AE441" s="83"/>
      <c r="AF441" s="123"/>
      <c r="AG441" s="243"/>
      <c r="AH441" s="33"/>
      <c r="AI441" s="245"/>
      <c r="AJ441" s="125"/>
      <c r="AK441" s="92"/>
      <c r="AL441" s="126"/>
      <c r="AM441" s="91"/>
      <c r="AN441" s="91"/>
      <c r="AO441" s="197">
        <f t="shared" si="27"/>
        <v>0</v>
      </c>
      <c r="AP441" s="126"/>
      <c r="AQ441" s="217"/>
      <c r="AR441" s="201"/>
      <c r="AS441" s="266"/>
      <c r="AT441" s="94"/>
      <c r="AU441" s="84"/>
      <c r="AV441" s="80"/>
      <c r="AW441" s="81"/>
      <c r="AX441" s="77"/>
      <c r="AY441" s="107"/>
      <c r="AZ441" s="220">
        <f t="shared" si="24"/>
        <v>0</v>
      </c>
      <c r="BA441" s="220">
        <f t="shared" si="25"/>
        <v>0</v>
      </c>
    </row>
    <row r="442" spans="1:53" ht="50.1" customHeight="1" x14ac:dyDescent="0.25">
      <c r="A442" s="17">
        <f t="shared" si="26"/>
        <v>428</v>
      </c>
      <c r="B442" s="229"/>
      <c r="C442" s="222"/>
      <c r="D442" s="112"/>
      <c r="E442" s="128"/>
      <c r="F442" s="129"/>
      <c r="G442" s="130"/>
      <c r="H442" s="131"/>
      <c r="I442" s="132"/>
      <c r="J442" s="189"/>
      <c r="K442" s="133"/>
      <c r="L442" s="134"/>
      <c r="M442" s="334"/>
      <c r="N442" s="343"/>
      <c r="O442" s="194"/>
      <c r="P442" s="190"/>
      <c r="Q442" s="194"/>
      <c r="R442" s="190"/>
      <c r="S442" s="297"/>
      <c r="T442" s="303"/>
      <c r="U442" s="294"/>
      <c r="V442" s="300"/>
      <c r="W442" s="249"/>
      <c r="X442" s="344"/>
      <c r="Y442" s="337"/>
      <c r="Z442" s="33"/>
      <c r="AA442" s="83"/>
      <c r="AB442" s="33"/>
      <c r="AC442" s="83"/>
      <c r="AD442" s="33"/>
      <c r="AE442" s="83"/>
      <c r="AF442" s="33"/>
      <c r="AG442" s="244"/>
      <c r="AH442" s="83"/>
      <c r="AI442" s="246"/>
      <c r="AJ442" s="102"/>
      <c r="AK442" s="92"/>
      <c r="AL442" s="91"/>
      <c r="AM442" s="92"/>
      <c r="AN442" s="351"/>
      <c r="AO442" s="197">
        <f t="shared" si="27"/>
        <v>0</v>
      </c>
      <c r="AP442" s="91"/>
      <c r="AQ442" s="217"/>
      <c r="AR442" s="103"/>
      <c r="AS442" s="264"/>
      <c r="AT442" s="94"/>
      <c r="AU442" s="84"/>
      <c r="AV442" s="136"/>
      <c r="AW442" s="77"/>
      <c r="AX442" s="137"/>
      <c r="AY442" s="138"/>
      <c r="AZ442" s="220">
        <f t="shared" si="24"/>
        <v>0</v>
      </c>
      <c r="BA442" s="220">
        <f t="shared" si="25"/>
        <v>0</v>
      </c>
    </row>
    <row r="443" spans="1:53" ht="50.1" customHeight="1" x14ac:dyDescent="0.25">
      <c r="A443" s="17">
        <f t="shared" si="26"/>
        <v>429</v>
      </c>
      <c r="B443" s="228"/>
      <c r="C443" s="221"/>
      <c r="D443" s="88"/>
      <c r="E443" s="100"/>
      <c r="F443" s="95"/>
      <c r="G443" s="114"/>
      <c r="H443" s="96"/>
      <c r="I443" s="97"/>
      <c r="J443" s="98"/>
      <c r="K443" s="101"/>
      <c r="L443" s="124"/>
      <c r="M443" s="333"/>
      <c r="N443" s="341"/>
      <c r="O443" s="190"/>
      <c r="P443" s="191"/>
      <c r="Q443" s="190"/>
      <c r="R443" s="191"/>
      <c r="S443" s="294"/>
      <c r="T443" s="300"/>
      <c r="U443" s="306"/>
      <c r="V443" s="308"/>
      <c r="W443" s="248"/>
      <c r="X443" s="342"/>
      <c r="Y443" s="336"/>
      <c r="Z443" s="123"/>
      <c r="AA443" s="33"/>
      <c r="AB443" s="123"/>
      <c r="AC443" s="33"/>
      <c r="AD443" s="123"/>
      <c r="AE443" s="33"/>
      <c r="AF443" s="123"/>
      <c r="AG443" s="243"/>
      <c r="AH443" s="33"/>
      <c r="AI443" s="245"/>
      <c r="AJ443" s="125"/>
      <c r="AK443" s="91"/>
      <c r="AL443" s="126"/>
      <c r="AM443" s="91"/>
      <c r="AN443" s="91"/>
      <c r="AO443" s="197">
        <f t="shared" si="27"/>
        <v>0</v>
      </c>
      <c r="AP443" s="126"/>
      <c r="AQ443" s="216"/>
      <c r="AR443" s="127"/>
      <c r="AS443" s="269"/>
      <c r="AT443" s="94"/>
      <c r="AU443" s="84"/>
      <c r="AV443" s="80"/>
      <c r="AW443" s="81"/>
      <c r="AX443" s="77"/>
      <c r="AY443" s="107"/>
      <c r="AZ443" s="220">
        <f t="shared" si="24"/>
        <v>0</v>
      </c>
      <c r="BA443" s="220">
        <f t="shared" si="25"/>
        <v>0</v>
      </c>
    </row>
    <row r="444" spans="1:53" ht="50.1" customHeight="1" x14ac:dyDescent="0.25">
      <c r="A444" s="17">
        <f t="shared" si="26"/>
        <v>430</v>
      </c>
      <c r="B444" s="229"/>
      <c r="C444" s="222"/>
      <c r="D444" s="112"/>
      <c r="E444" s="128"/>
      <c r="F444" s="129"/>
      <c r="G444" s="130"/>
      <c r="H444" s="131"/>
      <c r="I444" s="132"/>
      <c r="J444" s="108"/>
      <c r="K444" s="133"/>
      <c r="L444" s="134"/>
      <c r="M444" s="334"/>
      <c r="N444" s="343"/>
      <c r="O444" s="194"/>
      <c r="P444" s="190"/>
      <c r="Q444" s="194"/>
      <c r="R444" s="190"/>
      <c r="S444" s="297"/>
      <c r="T444" s="303"/>
      <c r="U444" s="294"/>
      <c r="V444" s="300"/>
      <c r="W444" s="249"/>
      <c r="X444" s="344"/>
      <c r="Y444" s="337"/>
      <c r="Z444" s="33"/>
      <c r="AA444" s="83"/>
      <c r="AB444" s="33"/>
      <c r="AC444" s="83"/>
      <c r="AD444" s="33"/>
      <c r="AE444" s="83"/>
      <c r="AF444" s="33"/>
      <c r="AG444" s="244"/>
      <c r="AH444" s="83"/>
      <c r="AI444" s="246"/>
      <c r="AJ444" s="102"/>
      <c r="AK444" s="92"/>
      <c r="AL444" s="91"/>
      <c r="AM444" s="92"/>
      <c r="AN444" s="351"/>
      <c r="AO444" s="197">
        <f t="shared" si="27"/>
        <v>0</v>
      </c>
      <c r="AP444" s="91"/>
      <c r="AQ444" s="217"/>
      <c r="AR444" s="103"/>
      <c r="AS444" s="264"/>
      <c r="AT444" s="94"/>
      <c r="AU444" s="84"/>
      <c r="AV444" s="136"/>
      <c r="AW444" s="77"/>
      <c r="AX444" s="137"/>
      <c r="AY444" s="138"/>
      <c r="AZ444" s="220">
        <f t="shared" si="24"/>
        <v>0</v>
      </c>
      <c r="BA444" s="220">
        <f t="shared" si="25"/>
        <v>0</v>
      </c>
    </row>
    <row r="445" spans="1:53" ht="50.1" customHeight="1" x14ac:dyDescent="0.25">
      <c r="A445" s="17">
        <f t="shared" si="26"/>
        <v>431</v>
      </c>
      <c r="B445" s="228"/>
      <c r="C445" s="221"/>
      <c r="D445" s="88"/>
      <c r="E445" s="100"/>
      <c r="F445" s="95"/>
      <c r="G445" s="114"/>
      <c r="H445" s="96"/>
      <c r="I445" s="97"/>
      <c r="J445" s="98"/>
      <c r="K445" s="101"/>
      <c r="L445" s="124"/>
      <c r="M445" s="333"/>
      <c r="N445" s="341"/>
      <c r="O445" s="190"/>
      <c r="P445" s="191"/>
      <c r="Q445" s="190"/>
      <c r="R445" s="191"/>
      <c r="S445" s="294"/>
      <c r="T445" s="300"/>
      <c r="U445" s="306"/>
      <c r="V445" s="308"/>
      <c r="W445" s="248"/>
      <c r="X445" s="342"/>
      <c r="Y445" s="336"/>
      <c r="Z445" s="123"/>
      <c r="AA445" s="33"/>
      <c r="AB445" s="123"/>
      <c r="AC445" s="33"/>
      <c r="AD445" s="123"/>
      <c r="AE445" s="33"/>
      <c r="AF445" s="123"/>
      <c r="AG445" s="243"/>
      <c r="AH445" s="33"/>
      <c r="AI445" s="245"/>
      <c r="AJ445" s="125"/>
      <c r="AK445" s="91"/>
      <c r="AL445" s="126"/>
      <c r="AM445" s="91"/>
      <c r="AN445" s="91"/>
      <c r="AO445" s="197">
        <f t="shared" si="27"/>
        <v>0</v>
      </c>
      <c r="AP445" s="126"/>
      <c r="AQ445" s="216"/>
      <c r="AR445" s="127"/>
      <c r="AS445" s="269"/>
      <c r="AT445" s="94"/>
      <c r="AU445" s="84"/>
      <c r="AV445" s="80"/>
      <c r="AW445" s="81"/>
      <c r="AX445" s="77"/>
      <c r="AY445" s="107"/>
      <c r="AZ445" s="220">
        <f t="shared" si="24"/>
        <v>0</v>
      </c>
      <c r="BA445" s="220">
        <f t="shared" si="25"/>
        <v>0</v>
      </c>
    </row>
    <row r="446" spans="1:53" ht="50.1" customHeight="1" x14ac:dyDescent="0.25">
      <c r="A446" s="17">
        <f t="shared" si="26"/>
        <v>432</v>
      </c>
      <c r="B446" s="229"/>
      <c r="C446" s="222"/>
      <c r="D446" s="112"/>
      <c r="E446" s="128"/>
      <c r="F446" s="129"/>
      <c r="G446" s="130"/>
      <c r="H446" s="131"/>
      <c r="I446" s="132"/>
      <c r="J446" s="189"/>
      <c r="K446" s="133"/>
      <c r="L446" s="134"/>
      <c r="M446" s="334"/>
      <c r="N446" s="343"/>
      <c r="O446" s="194"/>
      <c r="P446" s="190"/>
      <c r="Q446" s="194"/>
      <c r="R446" s="190"/>
      <c r="S446" s="297"/>
      <c r="T446" s="303"/>
      <c r="U446" s="294"/>
      <c r="V446" s="300"/>
      <c r="W446" s="249"/>
      <c r="X446" s="344"/>
      <c r="Y446" s="337"/>
      <c r="Z446" s="33"/>
      <c r="AA446" s="83"/>
      <c r="AB446" s="33"/>
      <c r="AC446" s="83"/>
      <c r="AD446" s="33"/>
      <c r="AE446" s="83"/>
      <c r="AF446" s="33"/>
      <c r="AG446" s="244"/>
      <c r="AH446" s="83"/>
      <c r="AI446" s="246"/>
      <c r="AJ446" s="102"/>
      <c r="AK446" s="92"/>
      <c r="AL446" s="91"/>
      <c r="AM446" s="92"/>
      <c r="AN446" s="351"/>
      <c r="AO446" s="197">
        <f t="shared" si="27"/>
        <v>0</v>
      </c>
      <c r="AP446" s="91"/>
      <c r="AQ446" s="217"/>
      <c r="AR446" s="103"/>
      <c r="AS446" s="264"/>
      <c r="AT446" s="94"/>
      <c r="AU446" s="84"/>
      <c r="AV446" s="136"/>
      <c r="AW446" s="77"/>
      <c r="AX446" s="137"/>
      <c r="AY446" s="138"/>
      <c r="AZ446" s="220">
        <f t="shared" si="24"/>
        <v>0</v>
      </c>
      <c r="BA446" s="220">
        <f t="shared" si="25"/>
        <v>0</v>
      </c>
    </row>
    <row r="447" spans="1:53" ht="50.1" customHeight="1" x14ac:dyDescent="0.25">
      <c r="A447" s="17">
        <f t="shared" si="26"/>
        <v>433</v>
      </c>
      <c r="B447" s="228"/>
      <c r="C447" s="221"/>
      <c r="D447" s="88"/>
      <c r="E447" s="100"/>
      <c r="F447" s="95"/>
      <c r="G447" s="114"/>
      <c r="H447" s="96"/>
      <c r="I447" s="97"/>
      <c r="J447" s="98"/>
      <c r="K447" s="101"/>
      <c r="L447" s="124"/>
      <c r="M447" s="333"/>
      <c r="N447" s="341"/>
      <c r="O447" s="190"/>
      <c r="P447" s="191"/>
      <c r="Q447" s="190"/>
      <c r="R447" s="191"/>
      <c r="S447" s="294"/>
      <c r="T447" s="300"/>
      <c r="U447" s="306"/>
      <c r="V447" s="308"/>
      <c r="W447" s="248"/>
      <c r="X447" s="342"/>
      <c r="Y447" s="336"/>
      <c r="Z447" s="123"/>
      <c r="AA447" s="33"/>
      <c r="AB447" s="123"/>
      <c r="AC447" s="33"/>
      <c r="AD447" s="123"/>
      <c r="AE447" s="33"/>
      <c r="AF447" s="123"/>
      <c r="AG447" s="243"/>
      <c r="AH447" s="33"/>
      <c r="AI447" s="245"/>
      <c r="AJ447" s="125"/>
      <c r="AK447" s="91"/>
      <c r="AL447" s="126"/>
      <c r="AM447" s="91"/>
      <c r="AN447" s="91"/>
      <c r="AO447" s="197">
        <f t="shared" si="27"/>
        <v>0</v>
      </c>
      <c r="AP447" s="126"/>
      <c r="AQ447" s="216"/>
      <c r="AR447" s="127"/>
      <c r="AS447" s="269"/>
      <c r="AT447" s="94"/>
      <c r="AU447" s="84"/>
      <c r="AV447" s="80"/>
      <c r="AW447" s="81"/>
      <c r="AX447" s="77"/>
      <c r="AY447" s="107"/>
      <c r="AZ447" s="220">
        <f t="shared" si="24"/>
        <v>0</v>
      </c>
      <c r="BA447" s="220">
        <f t="shared" si="25"/>
        <v>0</v>
      </c>
    </row>
    <row r="448" spans="1:53" ht="50.1" customHeight="1" x14ac:dyDescent="0.25">
      <c r="A448" s="17">
        <f t="shared" si="26"/>
        <v>434</v>
      </c>
      <c r="B448" s="229"/>
      <c r="C448" s="222"/>
      <c r="D448" s="112"/>
      <c r="E448" s="128"/>
      <c r="F448" s="129"/>
      <c r="G448" s="130"/>
      <c r="H448" s="131"/>
      <c r="I448" s="132"/>
      <c r="J448" s="108"/>
      <c r="K448" s="133"/>
      <c r="L448" s="134"/>
      <c r="M448" s="334"/>
      <c r="N448" s="343"/>
      <c r="O448" s="194"/>
      <c r="P448" s="190"/>
      <c r="Q448" s="194"/>
      <c r="R448" s="190"/>
      <c r="S448" s="297"/>
      <c r="T448" s="303"/>
      <c r="U448" s="294"/>
      <c r="V448" s="300"/>
      <c r="W448" s="249"/>
      <c r="X448" s="344"/>
      <c r="Y448" s="337"/>
      <c r="Z448" s="33"/>
      <c r="AA448" s="83"/>
      <c r="AB448" s="33"/>
      <c r="AC448" s="83"/>
      <c r="AD448" s="33"/>
      <c r="AE448" s="83"/>
      <c r="AF448" s="33"/>
      <c r="AG448" s="244"/>
      <c r="AH448" s="83"/>
      <c r="AI448" s="246"/>
      <c r="AJ448" s="102"/>
      <c r="AK448" s="92"/>
      <c r="AL448" s="91"/>
      <c r="AM448" s="92"/>
      <c r="AN448" s="351"/>
      <c r="AO448" s="197">
        <f t="shared" si="27"/>
        <v>0</v>
      </c>
      <c r="AP448" s="91"/>
      <c r="AQ448" s="217"/>
      <c r="AR448" s="103"/>
      <c r="AS448" s="264"/>
      <c r="AT448" s="94"/>
      <c r="AU448" s="84"/>
      <c r="AV448" s="136"/>
      <c r="AW448" s="77"/>
      <c r="AX448" s="137"/>
      <c r="AY448" s="138"/>
      <c r="AZ448" s="220">
        <f t="shared" si="24"/>
        <v>0</v>
      </c>
      <c r="BA448" s="220">
        <f t="shared" si="25"/>
        <v>0</v>
      </c>
    </row>
    <row r="449" spans="1:53" ht="50.1" customHeight="1" x14ac:dyDescent="0.25">
      <c r="A449" s="17">
        <f t="shared" si="26"/>
        <v>435</v>
      </c>
      <c r="B449" s="228"/>
      <c r="C449" s="221"/>
      <c r="D449" s="88"/>
      <c r="E449" s="100"/>
      <c r="F449" s="95"/>
      <c r="G449" s="114"/>
      <c r="H449" s="96"/>
      <c r="I449" s="97"/>
      <c r="J449" s="98"/>
      <c r="K449" s="101"/>
      <c r="L449" s="124"/>
      <c r="M449" s="333"/>
      <c r="N449" s="341"/>
      <c r="O449" s="190"/>
      <c r="P449" s="191"/>
      <c r="Q449" s="190"/>
      <c r="R449" s="191"/>
      <c r="S449" s="294"/>
      <c r="T449" s="300"/>
      <c r="U449" s="306"/>
      <c r="V449" s="308"/>
      <c r="W449" s="248"/>
      <c r="X449" s="342"/>
      <c r="Y449" s="336"/>
      <c r="Z449" s="123"/>
      <c r="AA449" s="33"/>
      <c r="AB449" s="123"/>
      <c r="AC449" s="33"/>
      <c r="AD449" s="123"/>
      <c r="AE449" s="33"/>
      <c r="AF449" s="123"/>
      <c r="AG449" s="243"/>
      <c r="AH449" s="33"/>
      <c r="AI449" s="245"/>
      <c r="AJ449" s="125"/>
      <c r="AK449" s="91"/>
      <c r="AL449" s="126"/>
      <c r="AM449" s="91"/>
      <c r="AN449" s="91"/>
      <c r="AO449" s="197">
        <f t="shared" si="27"/>
        <v>0</v>
      </c>
      <c r="AP449" s="126"/>
      <c r="AQ449" s="216"/>
      <c r="AR449" s="127"/>
      <c r="AS449" s="269"/>
      <c r="AT449" s="94"/>
      <c r="AU449" s="84"/>
      <c r="AV449" s="80"/>
      <c r="AW449" s="81"/>
      <c r="AX449" s="77"/>
      <c r="AY449" s="107"/>
      <c r="AZ449" s="220">
        <f t="shared" si="24"/>
        <v>0</v>
      </c>
      <c r="BA449" s="220">
        <f t="shared" si="25"/>
        <v>0</v>
      </c>
    </row>
    <row r="450" spans="1:53" ht="50.1" customHeight="1" x14ac:dyDescent="0.25">
      <c r="A450" s="17">
        <f t="shared" si="26"/>
        <v>436</v>
      </c>
      <c r="B450" s="229"/>
      <c r="C450" s="222"/>
      <c r="D450" s="112"/>
      <c r="E450" s="128"/>
      <c r="F450" s="129"/>
      <c r="G450" s="130"/>
      <c r="H450" s="131"/>
      <c r="I450" s="132"/>
      <c r="J450" s="189"/>
      <c r="K450" s="133"/>
      <c r="L450" s="134"/>
      <c r="M450" s="334"/>
      <c r="N450" s="343"/>
      <c r="O450" s="194"/>
      <c r="P450" s="190"/>
      <c r="Q450" s="194"/>
      <c r="R450" s="190"/>
      <c r="S450" s="297"/>
      <c r="T450" s="303"/>
      <c r="U450" s="294"/>
      <c r="V450" s="300"/>
      <c r="W450" s="249"/>
      <c r="X450" s="344"/>
      <c r="Y450" s="337"/>
      <c r="Z450" s="33"/>
      <c r="AA450" s="83"/>
      <c r="AB450" s="33"/>
      <c r="AC450" s="83"/>
      <c r="AD450" s="33"/>
      <c r="AE450" s="83"/>
      <c r="AF450" s="33"/>
      <c r="AG450" s="244"/>
      <c r="AH450" s="83"/>
      <c r="AI450" s="246"/>
      <c r="AJ450" s="102"/>
      <c r="AK450" s="92"/>
      <c r="AL450" s="91"/>
      <c r="AM450" s="92"/>
      <c r="AN450" s="351"/>
      <c r="AO450" s="197">
        <f t="shared" si="27"/>
        <v>0</v>
      </c>
      <c r="AP450" s="91"/>
      <c r="AQ450" s="217"/>
      <c r="AR450" s="103"/>
      <c r="AS450" s="264"/>
      <c r="AT450" s="94"/>
      <c r="AU450" s="84"/>
      <c r="AV450" s="136"/>
      <c r="AW450" s="77"/>
      <c r="AX450" s="137"/>
      <c r="AY450" s="138"/>
      <c r="AZ450" s="220">
        <f t="shared" si="24"/>
        <v>0</v>
      </c>
      <c r="BA450" s="220">
        <f t="shared" si="25"/>
        <v>0</v>
      </c>
    </row>
    <row r="451" spans="1:53" ht="50.1" customHeight="1" x14ac:dyDescent="0.25">
      <c r="A451" s="17">
        <f t="shared" si="26"/>
        <v>437</v>
      </c>
      <c r="B451" s="228"/>
      <c r="C451" s="221"/>
      <c r="D451" s="88"/>
      <c r="E451" s="100"/>
      <c r="F451" s="95"/>
      <c r="G451" s="114"/>
      <c r="H451" s="96"/>
      <c r="I451" s="97"/>
      <c r="J451" s="98"/>
      <c r="K451" s="101"/>
      <c r="L451" s="124"/>
      <c r="M451" s="333"/>
      <c r="N451" s="341"/>
      <c r="O451" s="190"/>
      <c r="P451" s="191"/>
      <c r="Q451" s="190"/>
      <c r="R451" s="191"/>
      <c r="S451" s="294"/>
      <c r="T451" s="300"/>
      <c r="U451" s="306"/>
      <c r="V451" s="308"/>
      <c r="W451" s="248"/>
      <c r="X451" s="342"/>
      <c r="Y451" s="336"/>
      <c r="Z451" s="123"/>
      <c r="AA451" s="33"/>
      <c r="AB451" s="123"/>
      <c r="AC451" s="33"/>
      <c r="AD451" s="123"/>
      <c r="AE451" s="33"/>
      <c r="AF451" s="123"/>
      <c r="AG451" s="243"/>
      <c r="AH451" s="33"/>
      <c r="AI451" s="245"/>
      <c r="AJ451" s="125"/>
      <c r="AK451" s="91"/>
      <c r="AL451" s="126"/>
      <c r="AM451" s="91"/>
      <c r="AN451" s="91"/>
      <c r="AO451" s="197">
        <f t="shared" si="27"/>
        <v>0</v>
      </c>
      <c r="AP451" s="126"/>
      <c r="AQ451" s="216"/>
      <c r="AR451" s="127"/>
      <c r="AS451" s="269"/>
      <c r="AT451" s="94"/>
      <c r="AU451" s="84"/>
      <c r="AV451" s="80"/>
      <c r="AW451" s="81"/>
      <c r="AX451" s="77"/>
      <c r="AY451" s="107"/>
      <c r="AZ451" s="220">
        <f t="shared" si="24"/>
        <v>0</v>
      </c>
      <c r="BA451" s="220">
        <f t="shared" si="25"/>
        <v>0</v>
      </c>
    </row>
    <row r="452" spans="1:53" ht="50.1" customHeight="1" x14ac:dyDescent="0.25">
      <c r="A452" s="17">
        <f t="shared" si="26"/>
        <v>438</v>
      </c>
      <c r="B452" s="229"/>
      <c r="C452" s="222"/>
      <c r="D452" s="112"/>
      <c r="E452" s="128"/>
      <c r="F452" s="129"/>
      <c r="G452" s="130"/>
      <c r="H452" s="131"/>
      <c r="I452" s="132"/>
      <c r="J452" s="108"/>
      <c r="K452" s="133"/>
      <c r="L452" s="134"/>
      <c r="M452" s="334"/>
      <c r="N452" s="343"/>
      <c r="O452" s="194"/>
      <c r="P452" s="190"/>
      <c r="Q452" s="194"/>
      <c r="R452" s="190"/>
      <c r="S452" s="297"/>
      <c r="T452" s="303"/>
      <c r="U452" s="294"/>
      <c r="V452" s="300"/>
      <c r="W452" s="249"/>
      <c r="X452" s="344"/>
      <c r="Y452" s="337"/>
      <c r="Z452" s="33"/>
      <c r="AA452" s="83"/>
      <c r="AB452" s="33"/>
      <c r="AC452" s="83"/>
      <c r="AD452" s="33"/>
      <c r="AE452" s="83"/>
      <c r="AF452" s="33"/>
      <c r="AG452" s="244"/>
      <c r="AH452" s="83"/>
      <c r="AI452" s="246"/>
      <c r="AJ452" s="102"/>
      <c r="AK452" s="92"/>
      <c r="AL452" s="91"/>
      <c r="AM452" s="92"/>
      <c r="AN452" s="351"/>
      <c r="AO452" s="197">
        <f t="shared" si="27"/>
        <v>0</v>
      </c>
      <c r="AP452" s="91"/>
      <c r="AQ452" s="217"/>
      <c r="AR452" s="103"/>
      <c r="AS452" s="264"/>
      <c r="AT452" s="94"/>
      <c r="AU452" s="84"/>
      <c r="AV452" s="136"/>
      <c r="AW452" s="77"/>
      <c r="AX452" s="137"/>
      <c r="AY452" s="138"/>
      <c r="AZ452" s="220">
        <f t="shared" si="24"/>
        <v>0</v>
      </c>
      <c r="BA452" s="220">
        <f t="shared" si="25"/>
        <v>0</v>
      </c>
    </row>
    <row r="453" spans="1:53" ht="50.1" customHeight="1" x14ac:dyDescent="0.25">
      <c r="A453" s="17">
        <f t="shared" si="26"/>
        <v>439</v>
      </c>
      <c r="B453" s="228"/>
      <c r="C453" s="221"/>
      <c r="D453" s="88"/>
      <c r="E453" s="100"/>
      <c r="F453" s="95"/>
      <c r="G453" s="114"/>
      <c r="H453" s="96"/>
      <c r="I453" s="97"/>
      <c r="J453" s="98"/>
      <c r="K453" s="101"/>
      <c r="L453" s="124"/>
      <c r="M453" s="333"/>
      <c r="N453" s="341"/>
      <c r="O453" s="190"/>
      <c r="P453" s="191"/>
      <c r="Q453" s="190"/>
      <c r="R453" s="191"/>
      <c r="S453" s="294"/>
      <c r="T453" s="300"/>
      <c r="U453" s="306"/>
      <c r="V453" s="308"/>
      <c r="W453" s="248"/>
      <c r="X453" s="342"/>
      <c r="Y453" s="336"/>
      <c r="Z453" s="123"/>
      <c r="AA453" s="33"/>
      <c r="AB453" s="123"/>
      <c r="AC453" s="33"/>
      <c r="AD453" s="123"/>
      <c r="AE453" s="33"/>
      <c r="AF453" s="123"/>
      <c r="AG453" s="243"/>
      <c r="AH453" s="33"/>
      <c r="AI453" s="245"/>
      <c r="AJ453" s="125"/>
      <c r="AK453" s="91"/>
      <c r="AL453" s="126"/>
      <c r="AM453" s="91"/>
      <c r="AN453" s="91"/>
      <c r="AO453" s="197">
        <f t="shared" si="27"/>
        <v>0</v>
      </c>
      <c r="AP453" s="126"/>
      <c r="AQ453" s="216"/>
      <c r="AR453" s="127"/>
      <c r="AS453" s="269"/>
      <c r="AT453" s="94"/>
      <c r="AU453" s="84"/>
      <c r="AV453" s="80"/>
      <c r="AW453" s="81"/>
      <c r="AX453" s="77"/>
      <c r="AY453" s="107"/>
      <c r="AZ453" s="220">
        <f t="shared" si="24"/>
        <v>0</v>
      </c>
      <c r="BA453" s="220">
        <f t="shared" si="25"/>
        <v>0</v>
      </c>
    </row>
    <row r="454" spans="1:53" ht="50.1" customHeight="1" x14ac:dyDescent="0.25">
      <c r="A454" s="17">
        <f t="shared" si="26"/>
        <v>440</v>
      </c>
      <c r="B454" s="229"/>
      <c r="C454" s="222"/>
      <c r="D454" s="112"/>
      <c r="E454" s="128"/>
      <c r="F454" s="129"/>
      <c r="G454" s="130"/>
      <c r="H454" s="131"/>
      <c r="I454" s="132"/>
      <c r="J454" s="189"/>
      <c r="K454" s="133"/>
      <c r="L454" s="134"/>
      <c r="M454" s="334"/>
      <c r="N454" s="343"/>
      <c r="O454" s="194"/>
      <c r="P454" s="190"/>
      <c r="Q454" s="194"/>
      <c r="R454" s="190"/>
      <c r="S454" s="297"/>
      <c r="T454" s="303"/>
      <c r="U454" s="294"/>
      <c r="V454" s="300"/>
      <c r="W454" s="249"/>
      <c r="X454" s="344"/>
      <c r="Y454" s="337"/>
      <c r="Z454" s="33"/>
      <c r="AA454" s="83"/>
      <c r="AB454" s="33"/>
      <c r="AC454" s="83"/>
      <c r="AD454" s="33"/>
      <c r="AE454" s="83"/>
      <c r="AF454" s="33"/>
      <c r="AG454" s="244"/>
      <c r="AH454" s="83"/>
      <c r="AI454" s="246"/>
      <c r="AJ454" s="102"/>
      <c r="AK454" s="92"/>
      <c r="AL454" s="91"/>
      <c r="AM454" s="92"/>
      <c r="AN454" s="351"/>
      <c r="AO454" s="197">
        <f t="shared" si="27"/>
        <v>0</v>
      </c>
      <c r="AP454" s="91"/>
      <c r="AQ454" s="217"/>
      <c r="AR454" s="103"/>
      <c r="AS454" s="264"/>
      <c r="AT454" s="94"/>
      <c r="AU454" s="84"/>
      <c r="AV454" s="136"/>
      <c r="AW454" s="77"/>
      <c r="AX454" s="137"/>
      <c r="AY454" s="138"/>
      <c r="AZ454" s="220">
        <f t="shared" si="24"/>
        <v>0</v>
      </c>
      <c r="BA454" s="220">
        <f t="shared" si="25"/>
        <v>0</v>
      </c>
    </row>
    <row r="455" spans="1:53" ht="50.1" customHeight="1" x14ac:dyDescent="0.25">
      <c r="A455" s="17">
        <f t="shared" si="26"/>
        <v>441</v>
      </c>
      <c r="B455" s="228"/>
      <c r="C455" s="221"/>
      <c r="D455" s="88"/>
      <c r="E455" s="100"/>
      <c r="F455" s="95"/>
      <c r="G455" s="114"/>
      <c r="H455" s="96"/>
      <c r="I455" s="97"/>
      <c r="J455" s="98"/>
      <c r="K455" s="101"/>
      <c r="L455" s="124"/>
      <c r="M455" s="333"/>
      <c r="N455" s="341"/>
      <c r="O455" s="190"/>
      <c r="P455" s="191"/>
      <c r="Q455" s="190"/>
      <c r="R455" s="191"/>
      <c r="S455" s="294"/>
      <c r="T455" s="300"/>
      <c r="U455" s="306"/>
      <c r="V455" s="308"/>
      <c r="W455" s="248"/>
      <c r="X455" s="342"/>
      <c r="Y455" s="336"/>
      <c r="Z455" s="123"/>
      <c r="AA455" s="33"/>
      <c r="AB455" s="123"/>
      <c r="AC455" s="33"/>
      <c r="AD455" s="123"/>
      <c r="AE455" s="33"/>
      <c r="AF455" s="123"/>
      <c r="AG455" s="243"/>
      <c r="AH455" s="33"/>
      <c r="AI455" s="245"/>
      <c r="AJ455" s="125"/>
      <c r="AK455" s="91"/>
      <c r="AL455" s="126"/>
      <c r="AM455" s="91"/>
      <c r="AN455" s="91"/>
      <c r="AO455" s="197">
        <f t="shared" si="27"/>
        <v>0</v>
      </c>
      <c r="AP455" s="126"/>
      <c r="AQ455" s="216"/>
      <c r="AR455" s="127"/>
      <c r="AS455" s="269"/>
      <c r="AT455" s="94"/>
      <c r="AU455" s="84"/>
      <c r="AV455" s="80"/>
      <c r="AW455" s="81"/>
      <c r="AX455" s="77"/>
      <c r="AY455" s="107"/>
      <c r="AZ455" s="220">
        <f t="shared" si="24"/>
        <v>0</v>
      </c>
      <c r="BA455" s="220">
        <f t="shared" si="25"/>
        <v>0</v>
      </c>
    </row>
    <row r="456" spans="1:53" ht="50.1" customHeight="1" x14ac:dyDescent="0.25">
      <c r="A456" s="17">
        <f t="shared" si="26"/>
        <v>442</v>
      </c>
      <c r="B456" s="229"/>
      <c r="C456" s="222"/>
      <c r="D456" s="112"/>
      <c r="E456" s="128"/>
      <c r="F456" s="129"/>
      <c r="G456" s="130"/>
      <c r="H456" s="131"/>
      <c r="I456" s="132"/>
      <c r="J456" s="108"/>
      <c r="K456" s="133"/>
      <c r="L456" s="134"/>
      <c r="M456" s="334"/>
      <c r="N456" s="343"/>
      <c r="O456" s="194"/>
      <c r="P456" s="190"/>
      <c r="Q456" s="194"/>
      <c r="R456" s="190"/>
      <c r="S456" s="297"/>
      <c r="T456" s="303"/>
      <c r="U456" s="294"/>
      <c r="V456" s="300"/>
      <c r="W456" s="249"/>
      <c r="X456" s="344"/>
      <c r="Y456" s="337"/>
      <c r="Z456" s="33"/>
      <c r="AA456" s="83"/>
      <c r="AB456" s="33"/>
      <c r="AC456" s="83"/>
      <c r="AD456" s="33"/>
      <c r="AE456" s="83"/>
      <c r="AF456" s="33"/>
      <c r="AG456" s="244"/>
      <c r="AH456" s="83"/>
      <c r="AI456" s="246"/>
      <c r="AJ456" s="102"/>
      <c r="AK456" s="92"/>
      <c r="AL456" s="91"/>
      <c r="AM456" s="92"/>
      <c r="AN456" s="351"/>
      <c r="AO456" s="197">
        <f t="shared" si="27"/>
        <v>0</v>
      </c>
      <c r="AP456" s="91"/>
      <c r="AQ456" s="217"/>
      <c r="AR456" s="103"/>
      <c r="AS456" s="264"/>
      <c r="AT456" s="94"/>
      <c r="AU456" s="84"/>
      <c r="AV456" s="136"/>
      <c r="AW456" s="77"/>
      <c r="AX456" s="137"/>
      <c r="AY456" s="138"/>
      <c r="AZ456" s="220">
        <f t="shared" si="24"/>
        <v>0</v>
      </c>
      <c r="BA456" s="220">
        <f t="shared" si="25"/>
        <v>0</v>
      </c>
    </row>
    <row r="457" spans="1:53" ht="50.1" customHeight="1" x14ac:dyDescent="0.25">
      <c r="A457" s="17">
        <f t="shared" si="26"/>
        <v>443</v>
      </c>
      <c r="B457" s="228"/>
      <c r="C457" s="221"/>
      <c r="D457" s="88"/>
      <c r="E457" s="100"/>
      <c r="F457" s="95"/>
      <c r="G457" s="114"/>
      <c r="H457" s="96"/>
      <c r="I457" s="97"/>
      <c r="J457" s="98"/>
      <c r="K457" s="101"/>
      <c r="L457" s="124"/>
      <c r="M457" s="333"/>
      <c r="N457" s="341"/>
      <c r="O457" s="190"/>
      <c r="P457" s="191"/>
      <c r="Q457" s="190"/>
      <c r="R457" s="191"/>
      <c r="S457" s="294"/>
      <c r="T457" s="300"/>
      <c r="U457" s="306"/>
      <c r="V457" s="308"/>
      <c r="W457" s="248"/>
      <c r="X457" s="342"/>
      <c r="Y457" s="336"/>
      <c r="Z457" s="123"/>
      <c r="AA457" s="33"/>
      <c r="AB457" s="123"/>
      <c r="AC457" s="33"/>
      <c r="AD457" s="123"/>
      <c r="AE457" s="33"/>
      <c r="AF457" s="123"/>
      <c r="AG457" s="243"/>
      <c r="AH457" s="33"/>
      <c r="AI457" s="245"/>
      <c r="AJ457" s="125"/>
      <c r="AK457" s="91"/>
      <c r="AL457" s="126"/>
      <c r="AM457" s="91"/>
      <c r="AN457" s="91"/>
      <c r="AO457" s="197">
        <f t="shared" si="27"/>
        <v>0</v>
      </c>
      <c r="AP457" s="126"/>
      <c r="AQ457" s="216"/>
      <c r="AR457" s="127"/>
      <c r="AS457" s="269"/>
      <c r="AT457" s="94"/>
      <c r="AU457" s="84"/>
      <c r="AV457" s="80"/>
      <c r="AW457" s="81"/>
      <c r="AX457" s="77"/>
      <c r="AY457" s="107"/>
      <c r="AZ457" s="220">
        <f t="shared" si="24"/>
        <v>0</v>
      </c>
      <c r="BA457" s="220">
        <f t="shared" si="25"/>
        <v>0</v>
      </c>
    </row>
    <row r="458" spans="1:53" ht="50.1" customHeight="1" x14ac:dyDescent="0.25">
      <c r="A458" s="17">
        <f t="shared" si="26"/>
        <v>444</v>
      </c>
      <c r="B458" s="229"/>
      <c r="C458" s="222"/>
      <c r="D458" s="112"/>
      <c r="E458" s="128"/>
      <c r="F458" s="129"/>
      <c r="G458" s="130"/>
      <c r="H458" s="131"/>
      <c r="I458" s="132"/>
      <c r="J458" s="108"/>
      <c r="K458" s="133"/>
      <c r="L458" s="134"/>
      <c r="M458" s="334"/>
      <c r="N458" s="343"/>
      <c r="O458" s="194"/>
      <c r="P458" s="190"/>
      <c r="Q458" s="194"/>
      <c r="R458" s="190"/>
      <c r="S458" s="297"/>
      <c r="T458" s="303"/>
      <c r="U458" s="294"/>
      <c r="V458" s="300"/>
      <c r="W458" s="249"/>
      <c r="X458" s="344"/>
      <c r="Y458" s="337"/>
      <c r="Z458" s="33"/>
      <c r="AA458" s="83"/>
      <c r="AB458" s="33"/>
      <c r="AC458" s="83"/>
      <c r="AD458" s="33"/>
      <c r="AE458" s="83"/>
      <c r="AF458" s="33"/>
      <c r="AG458" s="244"/>
      <c r="AH458" s="83"/>
      <c r="AI458" s="246"/>
      <c r="AJ458" s="102"/>
      <c r="AK458" s="92"/>
      <c r="AL458" s="91"/>
      <c r="AM458" s="92"/>
      <c r="AN458" s="351"/>
      <c r="AO458" s="197">
        <f t="shared" si="27"/>
        <v>0</v>
      </c>
      <c r="AP458" s="91"/>
      <c r="AQ458" s="217"/>
      <c r="AR458" s="103"/>
      <c r="AS458" s="264"/>
      <c r="AT458" s="94"/>
      <c r="AU458" s="84"/>
      <c r="AV458" s="136"/>
      <c r="AW458" s="77"/>
      <c r="AX458" s="137"/>
      <c r="AY458" s="138"/>
      <c r="AZ458" s="220">
        <f t="shared" si="24"/>
        <v>0</v>
      </c>
      <c r="BA458" s="220">
        <f t="shared" si="25"/>
        <v>0</v>
      </c>
    </row>
    <row r="459" spans="1:53" ht="50.1" customHeight="1" x14ac:dyDescent="0.25">
      <c r="A459" s="17">
        <f t="shared" si="26"/>
        <v>445</v>
      </c>
      <c r="B459" s="228"/>
      <c r="C459" s="221"/>
      <c r="D459" s="88"/>
      <c r="E459" s="100"/>
      <c r="F459" s="95"/>
      <c r="G459" s="114"/>
      <c r="H459" s="96"/>
      <c r="I459" s="97"/>
      <c r="J459" s="98"/>
      <c r="K459" s="101"/>
      <c r="L459" s="124"/>
      <c r="M459" s="333"/>
      <c r="N459" s="341"/>
      <c r="O459" s="190"/>
      <c r="P459" s="191"/>
      <c r="Q459" s="190"/>
      <c r="R459" s="191"/>
      <c r="S459" s="294"/>
      <c r="T459" s="300"/>
      <c r="U459" s="306"/>
      <c r="V459" s="308"/>
      <c r="W459" s="248"/>
      <c r="X459" s="342"/>
      <c r="Y459" s="336"/>
      <c r="Z459" s="123"/>
      <c r="AA459" s="33"/>
      <c r="AB459" s="123"/>
      <c r="AC459" s="33"/>
      <c r="AD459" s="123"/>
      <c r="AE459" s="33"/>
      <c r="AF459" s="123"/>
      <c r="AG459" s="243"/>
      <c r="AH459" s="33"/>
      <c r="AI459" s="245"/>
      <c r="AJ459" s="125"/>
      <c r="AK459" s="91"/>
      <c r="AL459" s="126"/>
      <c r="AM459" s="91"/>
      <c r="AN459" s="91"/>
      <c r="AO459" s="197">
        <f t="shared" si="27"/>
        <v>0</v>
      </c>
      <c r="AP459" s="126"/>
      <c r="AQ459" s="216"/>
      <c r="AR459" s="127"/>
      <c r="AS459" s="269"/>
      <c r="AT459" s="94"/>
      <c r="AU459" s="84"/>
      <c r="AV459" s="80"/>
      <c r="AW459" s="81"/>
      <c r="AX459" s="77"/>
      <c r="AY459" s="107"/>
      <c r="AZ459" s="220">
        <f t="shared" si="24"/>
        <v>0</v>
      </c>
      <c r="BA459" s="220">
        <f t="shared" si="25"/>
        <v>0</v>
      </c>
    </row>
    <row r="460" spans="1:53" ht="50.1" customHeight="1" x14ac:dyDescent="0.25">
      <c r="A460" s="17">
        <f t="shared" si="26"/>
        <v>446</v>
      </c>
      <c r="B460" s="229"/>
      <c r="C460" s="222"/>
      <c r="D460" s="112"/>
      <c r="E460" s="128"/>
      <c r="F460" s="129"/>
      <c r="G460" s="130"/>
      <c r="H460" s="131"/>
      <c r="I460" s="132"/>
      <c r="J460" s="108"/>
      <c r="K460" s="133"/>
      <c r="L460" s="134"/>
      <c r="M460" s="334"/>
      <c r="N460" s="343"/>
      <c r="O460" s="194"/>
      <c r="P460" s="190"/>
      <c r="Q460" s="194"/>
      <c r="R460" s="190"/>
      <c r="S460" s="297"/>
      <c r="T460" s="303"/>
      <c r="U460" s="294"/>
      <c r="V460" s="300"/>
      <c r="W460" s="249"/>
      <c r="X460" s="344"/>
      <c r="Y460" s="337"/>
      <c r="Z460" s="33"/>
      <c r="AA460" s="83"/>
      <c r="AB460" s="33"/>
      <c r="AC460" s="83"/>
      <c r="AD460" s="33"/>
      <c r="AE460" s="83"/>
      <c r="AF460" s="33"/>
      <c r="AG460" s="244"/>
      <c r="AH460" s="83"/>
      <c r="AI460" s="246"/>
      <c r="AJ460" s="102"/>
      <c r="AK460" s="92"/>
      <c r="AL460" s="91"/>
      <c r="AM460" s="92"/>
      <c r="AN460" s="351"/>
      <c r="AO460" s="197">
        <f t="shared" si="27"/>
        <v>0</v>
      </c>
      <c r="AP460" s="91"/>
      <c r="AQ460" s="217"/>
      <c r="AR460" s="103"/>
      <c r="AS460" s="264"/>
      <c r="AT460" s="94"/>
      <c r="AU460" s="84"/>
      <c r="AV460" s="136"/>
      <c r="AW460" s="77"/>
      <c r="AX460" s="137"/>
      <c r="AY460" s="138"/>
      <c r="AZ460" s="220">
        <f t="shared" si="24"/>
        <v>0</v>
      </c>
      <c r="BA460" s="220">
        <f t="shared" si="25"/>
        <v>0</v>
      </c>
    </row>
    <row r="461" spans="1:53" ht="50.1" customHeight="1" x14ac:dyDescent="0.25">
      <c r="A461" s="17">
        <f t="shared" si="26"/>
        <v>447</v>
      </c>
      <c r="B461" s="228"/>
      <c r="C461" s="221"/>
      <c r="D461" s="88"/>
      <c r="E461" s="100"/>
      <c r="F461" s="95"/>
      <c r="G461" s="114"/>
      <c r="H461" s="96"/>
      <c r="I461" s="97"/>
      <c r="J461" s="98"/>
      <c r="K461" s="101"/>
      <c r="L461" s="124"/>
      <c r="M461" s="333"/>
      <c r="N461" s="341"/>
      <c r="O461" s="190"/>
      <c r="P461" s="191"/>
      <c r="Q461" s="190"/>
      <c r="R461" s="191"/>
      <c r="S461" s="294"/>
      <c r="T461" s="300"/>
      <c r="U461" s="306"/>
      <c r="V461" s="308"/>
      <c r="W461" s="248"/>
      <c r="X461" s="342"/>
      <c r="Y461" s="336"/>
      <c r="Z461" s="123"/>
      <c r="AA461" s="33"/>
      <c r="AB461" s="123"/>
      <c r="AC461" s="33"/>
      <c r="AD461" s="123"/>
      <c r="AE461" s="33"/>
      <c r="AF461" s="123"/>
      <c r="AG461" s="243"/>
      <c r="AH461" s="33"/>
      <c r="AI461" s="245"/>
      <c r="AJ461" s="125"/>
      <c r="AK461" s="91"/>
      <c r="AL461" s="126"/>
      <c r="AM461" s="91"/>
      <c r="AN461" s="91"/>
      <c r="AO461" s="197">
        <f t="shared" si="27"/>
        <v>0</v>
      </c>
      <c r="AP461" s="126"/>
      <c r="AQ461" s="216"/>
      <c r="AR461" s="127"/>
      <c r="AS461" s="269"/>
      <c r="AT461" s="94"/>
      <c r="AU461" s="84"/>
      <c r="AV461" s="80"/>
      <c r="AW461" s="81"/>
      <c r="AX461" s="77"/>
      <c r="AY461" s="107"/>
      <c r="AZ461" s="220">
        <f t="shared" si="24"/>
        <v>0</v>
      </c>
      <c r="BA461" s="220">
        <f t="shared" si="25"/>
        <v>0</v>
      </c>
    </row>
    <row r="462" spans="1:53" ht="50.1" customHeight="1" x14ac:dyDescent="0.25">
      <c r="A462" s="17">
        <f t="shared" si="26"/>
        <v>448</v>
      </c>
      <c r="B462" s="229"/>
      <c r="C462" s="222"/>
      <c r="D462" s="112"/>
      <c r="E462" s="128"/>
      <c r="F462" s="129"/>
      <c r="G462" s="130"/>
      <c r="H462" s="131"/>
      <c r="I462" s="132"/>
      <c r="J462" s="108"/>
      <c r="K462" s="133"/>
      <c r="L462" s="134"/>
      <c r="M462" s="334"/>
      <c r="N462" s="343"/>
      <c r="O462" s="194"/>
      <c r="P462" s="190"/>
      <c r="Q462" s="194"/>
      <c r="R462" s="190"/>
      <c r="S462" s="297"/>
      <c r="T462" s="303"/>
      <c r="U462" s="294"/>
      <c r="V462" s="300"/>
      <c r="W462" s="249"/>
      <c r="X462" s="344"/>
      <c r="Y462" s="337"/>
      <c r="Z462" s="33"/>
      <c r="AA462" s="83"/>
      <c r="AB462" s="33"/>
      <c r="AC462" s="83"/>
      <c r="AD462" s="33"/>
      <c r="AE462" s="83"/>
      <c r="AF462" s="33"/>
      <c r="AG462" s="244"/>
      <c r="AH462" s="83"/>
      <c r="AI462" s="246"/>
      <c r="AJ462" s="102"/>
      <c r="AK462" s="92"/>
      <c r="AL462" s="91"/>
      <c r="AM462" s="92"/>
      <c r="AN462" s="351"/>
      <c r="AO462" s="197">
        <f t="shared" si="27"/>
        <v>0</v>
      </c>
      <c r="AP462" s="91"/>
      <c r="AQ462" s="217"/>
      <c r="AR462" s="103"/>
      <c r="AS462" s="264"/>
      <c r="AT462" s="94"/>
      <c r="AU462" s="84"/>
      <c r="AV462" s="136"/>
      <c r="AW462" s="77"/>
      <c r="AX462" s="137"/>
      <c r="AY462" s="138"/>
      <c r="AZ462" s="220">
        <f t="shared" si="24"/>
        <v>0</v>
      </c>
      <c r="BA462" s="220">
        <f t="shared" si="25"/>
        <v>0</v>
      </c>
    </row>
    <row r="463" spans="1:53" ht="50.1" customHeight="1" x14ac:dyDescent="0.25">
      <c r="A463" s="17">
        <f t="shared" si="26"/>
        <v>449</v>
      </c>
      <c r="B463" s="228"/>
      <c r="C463" s="221"/>
      <c r="D463" s="88"/>
      <c r="E463" s="100"/>
      <c r="F463" s="95"/>
      <c r="G463" s="114"/>
      <c r="H463" s="96"/>
      <c r="I463" s="97"/>
      <c r="J463" s="98"/>
      <c r="K463" s="101"/>
      <c r="L463" s="124"/>
      <c r="M463" s="333"/>
      <c r="N463" s="341"/>
      <c r="O463" s="190"/>
      <c r="P463" s="191"/>
      <c r="Q463" s="190"/>
      <c r="R463" s="191"/>
      <c r="S463" s="294"/>
      <c r="T463" s="300"/>
      <c r="U463" s="306"/>
      <c r="V463" s="308"/>
      <c r="W463" s="248"/>
      <c r="X463" s="342"/>
      <c r="Y463" s="336"/>
      <c r="Z463" s="123"/>
      <c r="AA463" s="33"/>
      <c r="AB463" s="123"/>
      <c r="AC463" s="33"/>
      <c r="AD463" s="123"/>
      <c r="AE463" s="33"/>
      <c r="AF463" s="123"/>
      <c r="AG463" s="243"/>
      <c r="AH463" s="33"/>
      <c r="AI463" s="245"/>
      <c r="AJ463" s="125"/>
      <c r="AK463" s="91"/>
      <c r="AL463" s="126"/>
      <c r="AM463" s="91"/>
      <c r="AN463" s="91"/>
      <c r="AO463" s="197">
        <f t="shared" si="27"/>
        <v>0</v>
      </c>
      <c r="AP463" s="126"/>
      <c r="AQ463" s="216"/>
      <c r="AR463" s="127"/>
      <c r="AS463" s="269"/>
      <c r="AT463" s="94"/>
      <c r="AU463" s="84"/>
      <c r="AV463" s="80"/>
      <c r="AW463" s="81"/>
      <c r="AX463" s="77"/>
      <c r="AY463" s="107"/>
      <c r="AZ463" s="220">
        <f t="shared" ref="AZ463:AZ526" si="28">M463-B463</f>
        <v>0</v>
      </c>
      <c r="BA463" s="220">
        <f t="shared" ref="BA463:BA526" si="29">AU463-M463</f>
        <v>0</v>
      </c>
    </row>
    <row r="464" spans="1:53" ht="50.1" customHeight="1" x14ac:dyDescent="0.25">
      <c r="A464" s="17">
        <f t="shared" ref="A464:A527" si="30">ROW(A450)</f>
        <v>450</v>
      </c>
      <c r="B464" s="229"/>
      <c r="C464" s="222"/>
      <c r="D464" s="112"/>
      <c r="E464" s="128"/>
      <c r="F464" s="129"/>
      <c r="G464" s="130"/>
      <c r="H464" s="131"/>
      <c r="I464" s="132"/>
      <c r="J464" s="108"/>
      <c r="K464" s="133"/>
      <c r="L464" s="134"/>
      <c r="M464" s="334"/>
      <c r="N464" s="343"/>
      <c r="O464" s="194"/>
      <c r="P464" s="190"/>
      <c r="Q464" s="194"/>
      <c r="R464" s="190"/>
      <c r="S464" s="297"/>
      <c r="T464" s="303"/>
      <c r="U464" s="294"/>
      <c r="V464" s="300"/>
      <c r="W464" s="249"/>
      <c r="X464" s="344"/>
      <c r="Y464" s="337"/>
      <c r="Z464" s="33"/>
      <c r="AA464" s="83"/>
      <c r="AB464" s="33"/>
      <c r="AC464" s="83"/>
      <c r="AD464" s="33"/>
      <c r="AE464" s="83"/>
      <c r="AF464" s="33"/>
      <c r="AG464" s="244"/>
      <c r="AH464" s="83"/>
      <c r="AI464" s="246"/>
      <c r="AJ464" s="102"/>
      <c r="AK464" s="92"/>
      <c r="AL464" s="91"/>
      <c r="AM464" s="92"/>
      <c r="AN464" s="351"/>
      <c r="AO464" s="197">
        <f t="shared" ref="AO464:AO527" si="31">AJ464-AK464-AL464-AM464-AN464</f>
        <v>0</v>
      </c>
      <c r="AP464" s="91"/>
      <c r="AQ464" s="217"/>
      <c r="AR464" s="103"/>
      <c r="AS464" s="264"/>
      <c r="AT464" s="94"/>
      <c r="AU464" s="84"/>
      <c r="AV464" s="136"/>
      <c r="AW464" s="77"/>
      <c r="AX464" s="137"/>
      <c r="AY464" s="138"/>
      <c r="AZ464" s="220">
        <f t="shared" si="28"/>
        <v>0</v>
      </c>
      <c r="BA464" s="220">
        <f t="shared" si="29"/>
        <v>0</v>
      </c>
    </row>
    <row r="465" spans="1:53" ht="50.1" customHeight="1" x14ac:dyDescent="0.25">
      <c r="A465" s="17">
        <f t="shared" si="30"/>
        <v>451</v>
      </c>
      <c r="B465" s="228"/>
      <c r="C465" s="221"/>
      <c r="D465" s="88"/>
      <c r="E465" s="100"/>
      <c r="F465" s="95"/>
      <c r="G465" s="114"/>
      <c r="H465" s="96"/>
      <c r="I465" s="97"/>
      <c r="J465" s="98"/>
      <c r="K465" s="101"/>
      <c r="L465" s="124"/>
      <c r="M465" s="333"/>
      <c r="N465" s="341"/>
      <c r="O465" s="190"/>
      <c r="P465" s="191"/>
      <c r="Q465" s="190"/>
      <c r="R465" s="191"/>
      <c r="S465" s="294"/>
      <c r="T465" s="300"/>
      <c r="U465" s="306"/>
      <c r="V465" s="308"/>
      <c r="W465" s="248"/>
      <c r="X465" s="342"/>
      <c r="Y465" s="336"/>
      <c r="Z465" s="123"/>
      <c r="AA465" s="33"/>
      <c r="AB465" s="123"/>
      <c r="AC465" s="33"/>
      <c r="AD465" s="123"/>
      <c r="AE465" s="33"/>
      <c r="AF465" s="123"/>
      <c r="AG465" s="243"/>
      <c r="AH465" s="33"/>
      <c r="AI465" s="245"/>
      <c r="AJ465" s="125"/>
      <c r="AK465" s="91"/>
      <c r="AL465" s="126"/>
      <c r="AM465" s="91"/>
      <c r="AN465" s="91"/>
      <c r="AO465" s="197">
        <f t="shared" si="31"/>
        <v>0</v>
      </c>
      <c r="AP465" s="126"/>
      <c r="AQ465" s="216"/>
      <c r="AR465" s="127"/>
      <c r="AS465" s="269"/>
      <c r="AT465" s="94"/>
      <c r="AU465" s="84"/>
      <c r="AV465" s="80"/>
      <c r="AW465" s="81"/>
      <c r="AX465" s="77"/>
      <c r="AY465" s="107"/>
      <c r="AZ465" s="220">
        <f t="shared" si="28"/>
        <v>0</v>
      </c>
      <c r="BA465" s="220">
        <f t="shared" si="29"/>
        <v>0</v>
      </c>
    </row>
    <row r="466" spans="1:53" ht="50.1" customHeight="1" x14ac:dyDescent="0.25">
      <c r="A466" s="17">
        <f t="shared" si="30"/>
        <v>452</v>
      </c>
      <c r="B466" s="229"/>
      <c r="C466" s="222"/>
      <c r="D466" s="112"/>
      <c r="E466" s="128"/>
      <c r="F466" s="129"/>
      <c r="G466" s="130"/>
      <c r="H466" s="131"/>
      <c r="I466" s="132"/>
      <c r="J466" s="108"/>
      <c r="K466" s="133"/>
      <c r="L466" s="134"/>
      <c r="M466" s="334"/>
      <c r="N466" s="343"/>
      <c r="O466" s="194"/>
      <c r="P466" s="190"/>
      <c r="Q466" s="194"/>
      <c r="R466" s="190"/>
      <c r="S466" s="297"/>
      <c r="T466" s="303"/>
      <c r="U466" s="294"/>
      <c r="V466" s="300"/>
      <c r="W466" s="249"/>
      <c r="X466" s="344"/>
      <c r="Y466" s="337"/>
      <c r="Z466" s="33"/>
      <c r="AA466" s="83"/>
      <c r="AB466" s="33"/>
      <c r="AC466" s="83"/>
      <c r="AD466" s="33"/>
      <c r="AE466" s="83"/>
      <c r="AF466" s="33"/>
      <c r="AG466" s="244"/>
      <c r="AH466" s="83"/>
      <c r="AI466" s="246"/>
      <c r="AJ466" s="102"/>
      <c r="AK466" s="92"/>
      <c r="AL466" s="91"/>
      <c r="AM466" s="92"/>
      <c r="AN466" s="351"/>
      <c r="AO466" s="197">
        <f t="shared" si="31"/>
        <v>0</v>
      </c>
      <c r="AP466" s="91"/>
      <c r="AQ466" s="217"/>
      <c r="AR466" s="103"/>
      <c r="AS466" s="264"/>
      <c r="AT466" s="94"/>
      <c r="AU466" s="84"/>
      <c r="AV466" s="136"/>
      <c r="AW466" s="77"/>
      <c r="AX466" s="137"/>
      <c r="AY466" s="138"/>
      <c r="AZ466" s="220">
        <f t="shared" si="28"/>
        <v>0</v>
      </c>
      <c r="BA466" s="220">
        <f t="shared" si="29"/>
        <v>0</v>
      </c>
    </row>
    <row r="467" spans="1:53" ht="50.1" customHeight="1" x14ac:dyDescent="0.25">
      <c r="A467" s="17">
        <f t="shared" si="30"/>
        <v>453</v>
      </c>
      <c r="B467" s="228"/>
      <c r="C467" s="221"/>
      <c r="D467" s="88"/>
      <c r="E467" s="100"/>
      <c r="F467" s="95"/>
      <c r="G467" s="114"/>
      <c r="H467" s="96"/>
      <c r="I467" s="97"/>
      <c r="J467" s="98"/>
      <c r="K467" s="101"/>
      <c r="L467" s="124"/>
      <c r="M467" s="333"/>
      <c r="N467" s="341"/>
      <c r="O467" s="190"/>
      <c r="P467" s="191"/>
      <c r="Q467" s="190"/>
      <c r="R467" s="191"/>
      <c r="S467" s="294"/>
      <c r="T467" s="300"/>
      <c r="U467" s="306"/>
      <c r="V467" s="308"/>
      <c r="W467" s="248"/>
      <c r="X467" s="342"/>
      <c r="Y467" s="336"/>
      <c r="Z467" s="123"/>
      <c r="AA467" s="33"/>
      <c r="AB467" s="123"/>
      <c r="AC467" s="33"/>
      <c r="AD467" s="123"/>
      <c r="AE467" s="33"/>
      <c r="AF467" s="123"/>
      <c r="AG467" s="243"/>
      <c r="AH467" s="33"/>
      <c r="AI467" s="245"/>
      <c r="AJ467" s="125"/>
      <c r="AK467" s="91"/>
      <c r="AL467" s="126"/>
      <c r="AM467" s="91"/>
      <c r="AN467" s="91"/>
      <c r="AO467" s="197">
        <f t="shared" si="31"/>
        <v>0</v>
      </c>
      <c r="AP467" s="126"/>
      <c r="AQ467" s="216"/>
      <c r="AR467" s="127"/>
      <c r="AS467" s="269"/>
      <c r="AT467" s="94"/>
      <c r="AU467" s="84"/>
      <c r="AV467" s="80"/>
      <c r="AW467" s="81"/>
      <c r="AX467" s="77"/>
      <c r="AY467" s="107"/>
      <c r="AZ467" s="220">
        <f t="shared" si="28"/>
        <v>0</v>
      </c>
      <c r="BA467" s="220">
        <f t="shared" si="29"/>
        <v>0</v>
      </c>
    </row>
    <row r="468" spans="1:53" ht="50.1" customHeight="1" x14ac:dyDescent="0.25">
      <c r="A468" s="17">
        <f t="shared" si="30"/>
        <v>454</v>
      </c>
      <c r="B468" s="229"/>
      <c r="C468" s="222"/>
      <c r="D468" s="112"/>
      <c r="E468" s="128"/>
      <c r="F468" s="129"/>
      <c r="G468" s="130"/>
      <c r="H468" s="131"/>
      <c r="I468" s="132"/>
      <c r="J468" s="108"/>
      <c r="K468" s="133"/>
      <c r="L468" s="134"/>
      <c r="M468" s="334"/>
      <c r="N468" s="343"/>
      <c r="O468" s="194"/>
      <c r="P468" s="190"/>
      <c r="Q468" s="194"/>
      <c r="R468" s="190"/>
      <c r="S468" s="297"/>
      <c r="T468" s="303"/>
      <c r="U468" s="294"/>
      <c r="V468" s="300"/>
      <c r="W468" s="249"/>
      <c r="X468" s="344"/>
      <c r="Y468" s="337"/>
      <c r="Z468" s="33"/>
      <c r="AA468" s="83"/>
      <c r="AB468" s="33"/>
      <c r="AC468" s="83"/>
      <c r="AD468" s="33"/>
      <c r="AE468" s="83"/>
      <c r="AF468" s="33"/>
      <c r="AG468" s="244"/>
      <c r="AH468" s="83"/>
      <c r="AI468" s="246"/>
      <c r="AJ468" s="102"/>
      <c r="AK468" s="92"/>
      <c r="AL468" s="91"/>
      <c r="AM468" s="92"/>
      <c r="AN468" s="351"/>
      <c r="AO468" s="197">
        <f t="shared" si="31"/>
        <v>0</v>
      </c>
      <c r="AP468" s="91"/>
      <c r="AQ468" s="217"/>
      <c r="AR468" s="103"/>
      <c r="AS468" s="264"/>
      <c r="AT468" s="94"/>
      <c r="AU468" s="84"/>
      <c r="AV468" s="136"/>
      <c r="AW468" s="77"/>
      <c r="AX468" s="137"/>
      <c r="AY468" s="138"/>
      <c r="AZ468" s="220">
        <f t="shared" si="28"/>
        <v>0</v>
      </c>
      <c r="BA468" s="220">
        <f t="shared" si="29"/>
        <v>0</v>
      </c>
    </row>
    <row r="469" spans="1:53" ht="50.1" customHeight="1" x14ac:dyDescent="0.25">
      <c r="A469" s="17">
        <f t="shared" si="30"/>
        <v>455</v>
      </c>
      <c r="B469" s="228"/>
      <c r="C469" s="221"/>
      <c r="D469" s="88"/>
      <c r="E469" s="100"/>
      <c r="F469" s="95"/>
      <c r="G469" s="114"/>
      <c r="H469" s="96"/>
      <c r="I469" s="97"/>
      <c r="J469" s="98"/>
      <c r="K469" s="101"/>
      <c r="L469" s="124"/>
      <c r="M469" s="333"/>
      <c r="N469" s="341"/>
      <c r="O469" s="190"/>
      <c r="P469" s="191"/>
      <c r="Q469" s="190"/>
      <c r="R469" s="191"/>
      <c r="S469" s="294"/>
      <c r="T469" s="300"/>
      <c r="U469" s="306"/>
      <c r="V469" s="308"/>
      <c r="W469" s="248"/>
      <c r="X469" s="342"/>
      <c r="Y469" s="336"/>
      <c r="Z469" s="123"/>
      <c r="AA469" s="33"/>
      <c r="AB469" s="123"/>
      <c r="AC469" s="33"/>
      <c r="AD469" s="123"/>
      <c r="AE469" s="33"/>
      <c r="AF469" s="123"/>
      <c r="AG469" s="243"/>
      <c r="AH469" s="33"/>
      <c r="AI469" s="245"/>
      <c r="AJ469" s="125"/>
      <c r="AK469" s="91"/>
      <c r="AL469" s="126"/>
      <c r="AM469" s="91"/>
      <c r="AN469" s="91"/>
      <c r="AO469" s="197">
        <f t="shared" si="31"/>
        <v>0</v>
      </c>
      <c r="AP469" s="126"/>
      <c r="AQ469" s="216"/>
      <c r="AR469" s="127"/>
      <c r="AS469" s="269"/>
      <c r="AT469" s="94"/>
      <c r="AU469" s="84"/>
      <c r="AV469" s="80"/>
      <c r="AW469" s="81"/>
      <c r="AX469" s="77"/>
      <c r="AY469" s="107"/>
      <c r="AZ469" s="220">
        <f t="shared" si="28"/>
        <v>0</v>
      </c>
      <c r="BA469" s="220">
        <f t="shared" si="29"/>
        <v>0</v>
      </c>
    </row>
    <row r="470" spans="1:53" ht="50.1" customHeight="1" x14ac:dyDescent="0.25">
      <c r="A470" s="17">
        <f t="shared" si="30"/>
        <v>456</v>
      </c>
      <c r="B470" s="229"/>
      <c r="C470" s="222"/>
      <c r="D470" s="112"/>
      <c r="E470" s="128"/>
      <c r="F470" s="129"/>
      <c r="G470" s="130"/>
      <c r="H470" s="131"/>
      <c r="I470" s="132"/>
      <c r="J470" s="108"/>
      <c r="K470" s="133"/>
      <c r="L470" s="134"/>
      <c r="M470" s="334"/>
      <c r="N470" s="343"/>
      <c r="O470" s="194"/>
      <c r="P470" s="190"/>
      <c r="Q470" s="194"/>
      <c r="R470" s="190"/>
      <c r="S470" s="297"/>
      <c r="T470" s="303"/>
      <c r="U470" s="294"/>
      <c r="V470" s="300"/>
      <c r="W470" s="249"/>
      <c r="X470" s="344"/>
      <c r="Y470" s="337"/>
      <c r="Z470" s="33"/>
      <c r="AA470" s="83"/>
      <c r="AB470" s="33"/>
      <c r="AC470" s="83"/>
      <c r="AD470" s="33"/>
      <c r="AE470" s="83"/>
      <c r="AF470" s="33"/>
      <c r="AG470" s="244"/>
      <c r="AH470" s="83"/>
      <c r="AI470" s="246"/>
      <c r="AJ470" s="102"/>
      <c r="AK470" s="92"/>
      <c r="AL470" s="91"/>
      <c r="AM470" s="92"/>
      <c r="AN470" s="351"/>
      <c r="AO470" s="197">
        <f t="shared" si="31"/>
        <v>0</v>
      </c>
      <c r="AP470" s="91"/>
      <c r="AQ470" s="217"/>
      <c r="AR470" s="103"/>
      <c r="AS470" s="264"/>
      <c r="AT470" s="94"/>
      <c r="AU470" s="84"/>
      <c r="AV470" s="136"/>
      <c r="AW470" s="77"/>
      <c r="AX470" s="137"/>
      <c r="AY470" s="138"/>
      <c r="AZ470" s="220">
        <f t="shared" si="28"/>
        <v>0</v>
      </c>
      <c r="BA470" s="220">
        <f t="shared" si="29"/>
        <v>0</v>
      </c>
    </row>
    <row r="471" spans="1:53" ht="50.1" customHeight="1" x14ac:dyDescent="0.25">
      <c r="A471" s="17">
        <f t="shared" si="30"/>
        <v>457</v>
      </c>
      <c r="B471" s="228"/>
      <c r="C471" s="221"/>
      <c r="D471" s="88"/>
      <c r="E471" s="100"/>
      <c r="F471" s="95"/>
      <c r="G471" s="114"/>
      <c r="H471" s="96"/>
      <c r="I471" s="97"/>
      <c r="J471" s="98"/>
      <c r="K471" s="101"/>
      <c r="L471" s="124"/>
      <c r="M471" s="333"/>
      <c r="N471" s="341"/>
      <c r="O471" s="190"/>
      <c r="P471" s="191"/>
      <c r="Q471" s="190"/>
      <c r="R471" s="191"/>
      <c r="S471" s="294"/>
      <c r="T471" s="300"/>
      <c r="U471" s="306"/>
      <c r="V471" s="308"/>
      <c r="W471" s="248"/>
      <c r="X471" s="342"/>
      <c r="Y471" s="336"/>
      <c r="Z471" s="123"/>
      <c r="AA471" s="33"/>
      <c r="AB471" s="123"/>
      <c r="AC471" s="33"/>
      <c r="AD471" s="123"/>
      <c r="AE471" s="33"/>
      <c r="AF471" s="123"/>
      <c r="AG471" s="243"/>
      <c r="AH471" s="33"/>
      <c r="AI471" s="245"/>
      <c r="AJ471" s="125"/>
      <c r="AK471" s="91"/>
      <c r="AL471" s="126"/>
      <c r="AM471" s="91"/>
      <c r="AN471" s="91"/>
      <c r="AO471" s="197">
        <f t="shared" si="31"/>
        <v>0</v>
      </c>
      <c r="AP471" s="126"/>
      <c r="AQ471" s="216"/>
      <c r="AR471" s="127"/>
      <c r="AS471" s="269"/>
      <c r="AT471" s="94"/>
      <c r="AU471" s="84"/>
      <c r="AV471" s="80"/>
      <c r="AW471" s="81"/>
      <c r="AX471" s="77"/>
      <c r="AY471" s="107"/>
      <c r="AZ471" s="220">
        <f t="shared" si="28"/>
        <v>0</v>
      </c>
      <c r="BA471" s="220">
        <f t="shared" si="29"/>
        <v>0</v>
      </c>
    </row>
    <row r="472" spans="1:53" ht="50.1" customHeight="1" x14ac:dyDescent="0.25">
      <c r="A472" s="17">
        <f t="shared" si="30"/>
        <v>458</v>
      </c>
      <c r="B472" s="229"/>
      <c r="C472" s="222"/>
      <c r="D472" s="112"/>
      <c r="E472" s="128"/>
      <c r="F472" s="129"/>
      <c r="G472" s="130"/>
      <c r="H472" s="131"/>
      <c r="I472" s="132"/>
      <c r="J472" s="108"/>
      <c r="K472" s="133"/>
      <c r="L472" s="134"/>
      <c r="M472" s="334"/>
      <c r="N472" s="343"/>
      <c r="O472" s="194"/>
      <c r="P472" s="190"/>
      <c r="Q472" s="194"/>
      <c r="R472" s="190"/>
      <c r="S472" s="297"/>
      <c r="T472" s="303"/>
      <c r="U472" s="294"/>
      <c r="V472" s="300"/>
      <c r="W472" s="249"/>
      <c r="X472" s="344"/>
      <c r="Y472" s="337"/>
      <c r="Z472" s="33"/>
      <c r="AA472" s="83"/>
      <c r="AB472" s="33"/>
      <c r="AC472" s="83"/>
      <c r="AD472" s="33"/>
      <c r="AE472" s="83"/>
      <c r="AF472" s="33"/>
      <c r="AG472" s="244"/>
      <c r="AH472" s="83"/>
      <c r="AI472" s="246"/>
      <c r="AJ472" s="102"/>
      <c r="AK472" s="92"/>
      <c r="AL472" s="91"/>
      <c r="AM472" s="92"/>
      <c r="AN472" s="351"/>
      <c r="AO472" s="197">
        <f t="shared" si="31"/>
        <v>0</v>
      </c>
      <c r="AP472" s="91"/>
      <c r="AQ472" s="217"/>
      <c r="AR472" s="103"/>
      <c r="AS472" s="264"/>
      <c r="AT472" s="94"/>
      <c r="AU472" s="84"/>
      <c r="AV472" s="136"/>
      <c r="AW472" s="77"/>
      <c r="AX472" s="137"/>
      <c r="AY472" s="138"/>
      <c r="AZ472" s="220">
        <f t="shared" si="28"/>
        <v>0</v>
      </c>
      <c r="BA472" s="220">
        <f t="shared" si="29"/>
        <v>0</v>
      </c>
    </row>
    <row r="473" spans="1:53" ht="50.1" customHeight="1" x14ac:dyDescent="0.25">
      <c r="A473" s="17">
        <f t="shared" si="30"/>
        <v>459</v>
      </c>
      <c r="B473" s="228"/>
      <c r="C473" s="221"/>
      <c r="D473" s="88"/>
      <c r="E473" s="100"/>
      <c r="F473" s="95"/>
      <c r="G473" s="114"/>
      <c r="H473" s="96"/>
      <c r="I473" s="97"/>
      <c r="J473" s="98"/>
      <c r="K473" s="101"/>
      <c r="L473" s="124"/>
      <c r="M473" s="333"/>
      <c r="N473" s="341"/>
      <c r="O473" s="190"/>
      <c r="P473" s="191"/>
      <c r="Q473" s="190"/>
      <c r="R473" s="191"/>
      <c r="S473" s="294"/>
      <c r="T473" s="300"/>
      <c r="U473" s="306"/>
      <c r="V473" s="308"/>
      <c r="W473" s="248"/>
      <c r="X473" s="342"/>
      <c r="Y473" s="336"/>
      <c r="Z473" s="123"/>
      <c r="AA473" s="33"/>
      <c r="AB473" s="123"/>
      <c r="AC473" s="33"/>
      <c r="AD473" s="123"/>
      <c r="AE473" s="33"/>
      <c r="AF473" s="123"/>
      <c r="AG473" s="243"/>
      <c r="AH473" s="33"/>
      <c r="AI473" s="245"/>
      <c r="AJ473" s="125"/>
      <c r="AK473" s="91"/>
      <c r="AL473" s="126"/>
      <c r="AM473" s="91"/>
      <c r="AN473" s="91"/>
      <c r="AO473" s="197">
        <f t="shared" si="31"/>
        <v>0</v>
      </c>
      <c r="AP473" s="126"/>
      <c r="AQ473" s="216"/>
      <c r="AR473" s="127"/>
      <c r="AS473" s="269"/>
      <c r="AT473" s="94"/>
      <c r="AU473" s="84"/>
      <c r="AV473" s="80"/>
      <c r="AW473" s="81"/>
      <c r="AX473" s="77"/>
      <c r="AY473" s="107"/>
      <c r="AZ473" s="220">
        <f t="shared" si="28"/>
        <v>0</v>
      </c>
      <c r="BA473" s="220">
        <f t="shared" si="29"/>
        <v>0</v>
      </c>
    </row>
    <row r="474" spans="1:53" ht="50.1" customHeight="1" x14ac:dyDescent="0.25">
      <c r="A474" s="17">
        <f t="shared" si="30"/>
        <v>460</v>
      </c>
      <c r="B474" s="229"/>
      <c r="C474" s="222"/>
      <c r="D474" s="112"/>
      <c r="E474" s="128"/>
      <c r="F474" s="129"/>
      <c r="G474" s="130"/>
      <c r="H474" s="131"/>
      <c r="I474" s="132"/>
      <c r="J474" s="108"/>
      <c r="K474" s="133"/>
      <c r="L474" s="134"/>
      <c r="M474" s="334"/>
      <c r="N474" s="343"/>
      <c r="O474" s="194"/>
      <c r="P474" s="190"/>
      <c r="Q474" s="194"/>
      <c r="R474" s="190"/>
      <c r="S474" s="297"/>
      <c r="T474" s="303"/>
      <c r="U474" s="294"/>
      <c r="V474" s="300"/>
      <c r="W474" s="249"/>
      <c r="X474" s="344"/>
      <c r="Y474" s="337"/>
      <c r="Z474" s="33"/>
      <c r="AA474" s="83"/>
      <c r="AB474" s="33"/>
      <c r="AC474" s="83"/>
      <c r="AD474" s="33"/>
      <c r="AE474" s="83"/>
      <c r="AF474" s="33"/>
      <c r="AG474" s="244"/>
      <c r="AH474" s="83"/>
      <c r="AI474" s="246"/>
      <c r="AJ474" s="102"/>
      <c r="AK474" s="92"/>
      <c r="AL474" s="91"/>
      <c r="AM474" s="92"/>
      <c r="AN474" s="351"/>
      <c r="AO474" s="197">
        <f t="shared" si="31"/>
        <v>0</v>
      </c>
      <c r="AP474" s="91"/>
      <c r="AQ474" s="217"/>
      <c r="AR474" s="103"/>
      <c r="AS474" s="264"/>
      <c r="AT474" s="94"/>
      <c r="AU474" s="84"/>
      <c r="AV474" s="136"/>
      <c r="AW474" s="77"/>
      <c r="AX474" s="137"/>
      <c r="AY474" s="138"/>
      <c r="AZ474" s="220">
        <f t="shared" si="28"/>
        <v>0</v>
      </c>
      <c r="BA474" s="220">
        <f t="shared" si="29"/>
        <v>0</v>
      </c>
    </row>
    <row r="475" spans="1:53" ht="50.1" customHeight="1" x14ac:dyDescent="0.25">
      <c r="A475" s="17">
        <f t="shared" si="30"/>
        <v>461</v>
      </c>
      <c r="B475" s="228"/>
      <c r="C475" s="221"/>
      <c r="D475" s="88"/>
      <c r="E475" s="100"/>
      <c r="F475" s="95"/>
      <c r="G475" s="114"/>
      <c r="H475" s="96"/>
      <c r="I475" s="97"/>
      <c r="J475" s="98"/>
      <c r="K475" s="101"/>
      <c r="L475" s="124"/>
      <c r="M475" s="333"/>
      <c r="N475" s="341"/>
      <c r="O475" s="190"/>
      <c r="P475" s="191"/>
      <c r="Q475" s="190"/>
      <c r="R475" s="191"/>
      <c r="S475" s="294"/>
      <c r="T475" s="300"/>
      <c r="U475" s="306"/>
      <c r="V475" s="308"/>
      <c r="W475" s="248"/>
      <c r="X475" s="342"/>
      <c r="Y475" s="336"/>
      <c r="Z475" s="123"/>
      <c r="AA475" s="33"/>
      <c r="AB475" s="123"/>
      <c r="AC475" s="33"/>
      <c r="AD475" s="123"/>
      <c r="AE475" s="33"/>
      <c r="AF475" s="123"/>
      <c r="AG475" s="243"/>
      <c r="AH475" s="33"/>
      <c r="AI475" s="245"/>
      <c r="AJ475" s="125"/>
      <c r="AK475" s="91"/>
      <c r="AL475" s="126"/>
      <c r="AM475" s="91"/>
      <c r="AN475" s="91"/>
      <c r="AO475" s="197">
        <f t="shared" si="31"/>
        <v>0</v>
      </c>
      <c r="AP475" s="126"/>
      <c r="AQ475" s="216"/>
      <c r="AR475" s="127"/>
      <c r="AS475" s="269"/>
      <c r="AT475" s="94"/>
      <c r="AU475" s="84"/>
      <c r="AV475" s="80"/>
      <c r="AW475" s="81"/>
      <c r="AX475" s="77"/>
      <c r="AY475" s="107"/>
      <c r="AZ475" s="220">
        <f t="shared" si="28"/>
        <v>0</v>
      </c>
      <c r="BA475" s="220">
        <f t="shared" si="29"/>
        <v>0</v>
      </c>
    </row>
    <row r="476" spans="1:53" ht="50.1" customHeight="1" x14ac:dyDescent="0.25">
      <c r="A476" s="17">
        <f t="shared" si="30"/>
        <v>462</v>
      </c>
      <c r="B476" s="229"/>
      <c r="C476" s="222"/>
      <c r="D476" s="112"/>
      <c r="E476" s="128"/>
      <c r="F476" s="129"/>
      <c r="G476" s="130"/>
      <c r="H476" s="131"/>
      <c r="I476" s="132"/>
      <c r="J476" s="108"/>
      <c r="K476" s="133"/>
      <c r="L476" s="134"/>
      <c r="M476" s="334"/>
      <c r="N476" s="343"/>
      <c r="O476" s="194"/>
      <c r="P476" s="190"/>
      <c r="Q476" s="194"/>
      <c r="R476" s="190"/>
      <c r="S476" s="297"/>
      <c r="T476" s="303"/>
      <c r="U476" s="294"/>
      <c r="V476" s="300"/>
      <c r="W476" s="249"/>
      <c r="X476" s="344"/>
      <c r="Y476" s="337"/>
      <c r="Z476" s="33"/>
      <c r="AA476" s="83"/>
      <c r="AB476" s="33"/>
      <c r="AC476" s="83"/>
      <c r="AD476" s="33"/>
      <c r="AE476" s="83"/>
      <c r="AF476" s="33"/>
      <c r="AG476" s="244"/>
      <c r="AH476" s="83"/>
      <c r="AI476" s="246"/>
      <c r="AJ476" s="102"/>
      <c r="AK476" s="92"/>
      <c r="AL476" s="91"/>
      <c r="AM476" s="92"/>
      <c r="AN476" s="351"/>
      <c r="AO476" s="197">
        <f t="shared" si="31"/>
        <v>0</v>
      </c>
      <c r="AP476" s="91"/>
      <c r="AQ476" s="217"/>
      <c r="AR476" s="103"/>
      <c r="AS476" s="264"/>
      <c r="AT476" s="94"/>
      <c r="AU476" s="84"/>
      <c r="AV476" s="136"/>
      <c r="AW476" s="77"/>
      <c r="AX476" s="137"/>
      <c r="AY476" s="138"/>
      <c r="AZ476" s="220">
        <f t="shared" si="28"/>
        <v>0</v>
      </c>
      <c r="BA476" s="220">
        <f t="shared" si="29"/>
        <v>0</v>
      </c>
    </row>
    <row r="477" spans="1:53" ht="50.1" customHeight="1" x14ac:dyDescent="0.25">
      <c r="A477" s="17">
        <f t="shared" si="30"/>
        <v>463</v>
      </c>
      <c r="B477" s="228"/>
      <c r="C477" s="221"/>
      <c r="D477" s="88"/>
      <c r="E477" s="100"/>
      <c r="F477" s="95"/>
      <c r="G477" s="114"/>
      <c r="H477" s="96"/>
      <c r="I477" s="97"/>
      <c r="J477" s="98"/>
      <c r="K477" s="101"/>
      <c r="L477" s="124"/>
      <c r="M477" s="333"/>
      <c r="N477" s="341"/>
      <c r="O477" s="190"/>
      <c r="P477" s="191"/>
      <c r="Q477" s="190"/>
      <c r="R477" s="191"/>
      <c r="S477" s="294"/>
      <c r="T477" s="300"/>
      <c r="U477" s="306"/>
      <c r="V477" s="308"/>
      <c r="W477" s="248"/>
      <c r="X477" s="342"/>
      <c r="Y477" s="336"/>
      <c r="Z477" s="123"/>
      <c r="AA477" s="33"/>
      <c r="AB477" s="123"/>
      <c r="AC477" s="33"/>
      <c r="AD477" s="123"/>
      <c r="AE477" s="33"/>
      <c r="AF477" s="123"/>
      <c r="AG477" s="243"/>
      <c r="AH477" s="33"/>
      <c r="AI477" s="245"/>
      <c r="AJ477" s="125"/>
      <c r="AK477" s="91"/>
      <c r="AL477" s="126"/>
      <c r="AM477" s="91"/>
      <c r="AN477" s="91"/>
      <c r="AO477" s="197">
        <f t="shared" si="31"/>
        <v>0</v>
      </c>
      <c r="AP477" s="126"/>
      <c r="AQ477" s="216"/>
      <c r="AR477" s="127"/>
      <c r="AS477" s="269"/>
      <c r="AT477" s="94"/>
      <c r="AU477" s="84"/>
      <c r="AV477" s="80"/>
      <c r="AW477" s="81"/>
      <c r="AX477" s="77"/>
      <c r="AY477" s="107"/>
      <c r="AZ477" s="220">
        <f t="shared" si="28"/>
        <v>0</v>
      </c>
      <c r="BA477" s="220">
        <f t="shared" si="29"/>
        <v>0</v>
      </c>
    </row>
    <row r="478" spans="1:53" ht="50.1" customHeight="1" x14ac:dyDescent="0.25">
      <c r="A478" s="17">
        <f t="shared" si="30"/>
        <v>464</v>
      </c>
      <c r="B478" s="229"/>
      <c r="C478" s="222"/>
      <c r="D478" s="112"/>
      <c r="E478" s="128"/>
      <c r="F478" s="129"/>
      <c r="G478" s="130"/>
      <c r="H478" s="131"/>
      <c r="I478" s="132"/>
      <c r="J478" s="108"/>
      <c r="K478" s="133"/>
      <c r="L478" s="134"/>
      <c r="M478" s="334"/>
      <c r="N478" s="343"/>
      <c r="O478" s="194"/>
      <c r="P478" s="190"/>
      <c r="Q478" s="194"/>
      <c r="R478" s="190"/>
      <c r="S478" s="297"/>
      <c r="T478" s="303"/>
      <c r="U478" s="294"/>
      <c r="V478" s="300"/>
      <c r="W478" s="249"/>
      <c r="X478" s="344"/>
      <c r="Y478" s="337"/>
      <c r="Z478" s="33"/>
      <c r="AA478" s="83"/>
      <c r="AB478" s="33"/>
      <c r="AC478" s="83"/>
      <c r="AD478" s="33"/>
      <c r="AE478" s="83"/>
      <c r="AF478" s="33"/>
      <c r="AG478" s="244"/>
      <c r="AH478" s="83"/>
      <c r="AI478" s="246"/>
      <c r="AJ478" s="102"/>
      <c r="AK478" s="92"/>
      <c r="AL478" s="91"/>
      <c r="AM478" s="92"/>
      <c r="AN478" s="351"/>
      <c r="AO478" s="197">
        <f t="shared" si="31"/>
        <v>0</v>
      </c>
      <c r="AP478" s="91"/>
      <c r="AQ478" s="217"/>
      <c r="AR478" s="103"/>
      <c r="AS478" s="264"/>
      <c r="AT478" s="94"/>
      <c r="AU478" s="84"/>
      <c r="AV478" s="136"/>
      <c r="AW478" s="77"/>
      <c r="AX478" s="137"/>
      <c r="AY478" s="138"/>
      <c r="AZ478" s="220">
        <f t="shared" si="28"/>
        <v>0</v>
      </c>
      <c r="BA478" s="220">
        <f t="shared" si="29"/>
        <v>0</v>
      </c>
    </row>
    <row r="479" spans="1:53" ht="50.1" customHeight="1" x14ac:dyDescent="0.25">
      <c r="A479" s="17">
        <f t="shared" si="30"/>
        <v>465</v>
      </c>
      <c r="B479" s="228"/>
      <c r="C479" s="221"/>
      <c r="D479" s="88"/>
      <c r="E479" s="100"/>
      <c r="F479" s="95"/>
      <c r="G479" s="114"/>
      <c r="H479" s="96"/>
      <c r="I479" s="97"/>
      <c r="J479" s="98"/>
      <c r="K479" s="101"/>
      <c r="L479" s="124"/>
      <c r="M479" s="333"/>
      <c r="N479" s="341"/>
      <c r="O479" s="190"/>
      <c r="P479" s="191"/>
      <c r="Q479" s="190"/>
      <c r="R479" s="191"/>
      <c r="S479" s="294"/>
      <c r="T479" s="300"/>
      <c r="U479" s="306"/>
      <c r="V479" s="308"/>
      <c r="W479" s="248"/>
      <c r="X479" s="342"/>
      <c r="Y479" s="336"/>
      <c r="Z479" s="123"/>
      <c r="AA479" s="33"/>
      <c r="AB479" s="123"/>
      <c r="AC479" s="33"/>
      <c r="AD479" s="123"/>
      <c r="AE479" s="33"/>
      <c r="AF479" s="123"/>
      <c r="AG479" s="243"/>
      <c r="AH479" s="33"/>
      <c r="AI479" s="245"/>
      <c r="AJ479" s="125"/>
      <c r="AK479" s="91"/>
      <c r="AL479" s="126"/>
      <c r="AM479" s="91"/>
      <c r="AN479" s="91"/>
      <c r="AO479" s="197">
        <f t="shared" si="31"/>
        <v>0</v>
      </c>
      <c r="AP479" s="126"/>
      <c r="AQ479" s="216"/>
      <c r="AR479" s="127"/>
      <c r="AS479" s="269"/>
      <c r="AT479" s="94"/>
      <c r="AU479" s="84"/>
      <c r="AV479" s="80"/>
      <c r="AW479" s="81"/>
      <c r="AX479" s="77"/>
      <c r="AY479" s="107"/>
      <c r="AZ479" s="220">
        <f t="shared" si="28"/>
        <v>0</v>
      </c>
      <c r="BA479" s="220">
        <f t="shared" si="29"/>
        <v>0</v>
      </c>
    </row>
    <row r="480" spans="1:53" ht="50.1" customHeight="1" x14ac:dyDescent="0.25">
      <c r="A480" s="17">
        <f t="shared" si="30"/>
        <v>466</v>
      </c>
      <c r="B480" s="229"/>
      <c r="C480" s="222"/>
      <c r="D480" s="112"/>
      <c r="E480" s="128"/>
      <c r="F480" s="129"/>
      <c r="G480" s="130"/>
      <c r="H480" s="131"/>
      <c r="I480" s="132"/>
      <c r="J480" s="108"/>
      <c r="K480" s="133"/>
      <c r="L480" s="134"/>
      <c r="M480" s="334"/>
      <c r="N480" s="343"/>
      <c r="O480" s="194"/>
      <c r="P480" s="190"/>
      <c r="Q480" s="194"/>
      <c r="R480" s="190"/>
      <c r="S480" s="297"/>
      <c r="T480" s="303"/>
      <c r="U480" s="294"/>
      <c r="V480" s="300"/>
      <c r="W480" s="249"/>
      <c r="X480" s="344"/>
      <c r="Y480" s="337"/>
      <c r="Z480" s="33"/>
      <c r="AA480" s="83"/>
      <c r="AB480" s="33"/>
      <c r="AC480" s="83"/>
      <c r="AD480" s="33"/>
      <c r="AE480" s="83"/>
      <c r="AF480" s="33"/>
      <c r="AG480" s="244"/>
      <c r="AH480" s="83"/>
      <c r="AI480" s="246"/>
      <c r="AJ480" s="102"/>
      <c r="AK480" s="92"/>
      <c r="AL480" s="91"/>
      <c r="AM480" s="92"/>
      <c r="AN480" s="351"/>
      <c r="AO480" s="197">
        <f t="shared" si="31"/>
        <v>0</v>
      </c>
      <c r="AP480" s="91"/>
      <c r="AQ480" s="217"/>
      <c r="AR480" s="103"/>
      <c r="AS480" s="264"/>
      <c r="AT480" s="94"/>
      <c r="AU480" s="84"/>
      <c r="AV480" s="136"/>
      <c r="AW480" s="77"/>
      <c r="AX480" s="137"/>
      <c r="AY480" s="138"/>
      <c r="AZ480" s="220">
        <f t="shared" si="28"/>
        <v>0</v>
      </c>
      <c r="BA480" s="220">
        <f t="shared" si="29"/>
        <v>0</v>
      </c>
    </row>
    <row r="481" spans="1:53" ht="50.1" customHeight="1" x14ac:dyDescent="0.25">
      <c r="A481" s="17">
        <f t="shared" si="30"/>
        <v>467</v>
      </c>
      <c r="B481" s="228"/>
      <c r="C481" s="221"/>
      <c r="D481" s="88"/>
      <c r="E481" s="100"/>
      <c r="F481" s="95"/>
      <c r="G481" s="114"/>
      <c r="H481" s="96"/>
      <c r="I481" s="97"/>
      <c r="J481" s="98"/>
      <c r="K481" s="101"/>
      <c r="L481" s="124"/>
      <c r="M481" s="333"/>
      <c r="N481" s="341"/>
      <c r="O481" s="190"/>
      <c r="P481" s="191"/>
      <c r="Q481" s="190"/>
      <c r="R481" s="191"/>
      <c r="S481" s="294"/>
      <c r="T481" s="300"/>
      <c r="U481" s="306"/>
      <c r="V481" s="308"/>
      <c r="W481" s="248"/>
      <c r="X481" s="342"/>
      <c r="Y481" s="336"/>
      <c r="Z481" s="123"/>
      <c r="AA481" s="33"/>
      <c r="AB481" s="123"/>
      <c r="AC481" s="33"/>
      <c r="AD481" s="123"/>
      <c r="AE481" s="33"/>
      <c r="AF481" s="123"/>
      <c r="AG481" s="243"/>
      <c r="AH481" s="33"/>
      <c r="AI481" s="245"/>
      <c r="AJ481" s="125"/>
      <c r="AK481" s="91"/>
      <c r="AL481" s="126"/>
      <c r="AM481" s="91"/>
      <c r="AN481" s="91"/>
      <c r="AO481" s="197">
        <f t="shared" si="31"/>
        <v>0</v>
      </c>
      <c r="AP481" s="126"/>
      <c r="AQ481" s="216"/>
      <c r="AR481" s="127"/>
      <c r="AS481" s="269"/>
      <c r="AT481" s="94"/>
      <c r="AU481" s="84"/>
      <c r="AV481" s="80"/>
      <c r="AW481" s="81"/>
      <c r="AX481" s="77"/>
      <c r="AY481" s="107"/>
      <c r="AZ481" s="220">
        <f t="shared" si="28"/>
        <v>0</v>
      </c>
      <c r="BA481" s="220">
        <f t="shared" si="29"/>
        <v>0</v>
      </c>
    </row>
    <row r="482" spans="1:53" ht="50.1" customHeight="1" x14ac:dyDescent="0.25">
      <c r="A482" s="17">
        <f t="shared" si="30"/>
        <v>468</v>
      </c>
      <c r="B482" s="229"/>
      <c r="C482" s="222"/>
      <c r="D482" s="112"/>
      <c r="E482" s="128"/>
      <c r="F482" s="129"/>
      <c r="G482" s="130"/>
      <c r="H482" s="131"/>
      <c r="I482" s="132"/>
      <c r="J482" s="108"/>
      <c r="K482" s="133"/>
      <c r="L482" s="134"/>
      <c r="M482" s="334"/>
      <c r="N482" s="343"/>
      <c r="O482" s="194"/>
      <c r="P482" s="190"/>
      <c r="Q482" s="194"/>
      <c r="R482" s="190"/>
      <c r="S482" s="297"/>
      <c r="T482" s="303"/>
      <c r="U482" s="294"/>
      <c r="V482" s="300"/>
      <c r="W482" s="249"/>
      <c r="X482" s="344"/>
      <c r="Y482" s="337"/>
      <c r="Z482" s="33"/>
      <c r="AA482" s="83"/>
      <c r="AB482" s="33"/>
      <c r="AC482" s="83"/>
      <c r="AD482" s="33"/>
      <c r="AE482" s="83"/>
      <c r="AF482" s="33"/>
      <c r="AG482" s="244"/>
      <c r="AH482" s="83"/>
      <c r="AI482" s="246"/>
      <c r="AJ482" s="102"/>
      <c r="AK482" s="92"/>
      <c r="AL482" s="91"/>
      <c r="AM482" s="92"/>
      <c r="AN482" s="351"/>
      <c r="AO482" s="197">
        <f t="shared" si="31"/>
        <v>0</v>
      </c>
      <c r="AP482" s="91"/>
      <c r="AQ482" s="217"/>
      <c r="AR482" s="103"/>
      <c r="AS482" s="264"/>
      <c r="AT482" s="94"/>
      <c r="AU482" s="84"/>
      <c r="AV482" s="136"/>
      <c r="AW482" s="77"/>
      <c r="AX482" s="137"/>
      <c r="AY482" s="138"/>
      <c r="AZ482" s="220">
        <f t="shared" si="28"/>
        <v>0</v>
      </c>
      <c r="BA482" s="220">
        <f t="shared" si="29"/>
        <v>0</v>
      </c>
    </row>
    <row r="483" spans="1:53" ht="50.1" customHeight="1" x14ac:dyDescent="0.25">
      <c r="A483" s="17">
        <f t="shared" si="30"/>
        <v>469</v>
      </c>
      <c r="B483" s="228"/>
      <c r="C483" s="221"/>
      <c r="D483" s="88"/>
      <c r="E483" s="100"/>
      <c r="F483" s="95"/>
      <c r="G483" s="114"/>
      <c r="H483" s="96"/>
      <c r="I483" s="97"/>
      <c r="J483" s="98"/>
      <c r="K483" s="101"/>
      <c r="L483" s="124"/>
      <c r="M483" s="333"/>
      <c r="N483" s="341"/>
      <c r="O483" s="190"/>
      <c r="P483" s="191"/>
      <c r="Q483" s="190"/>
      <c r="R483" s="191"/>
      <c r="S483" s="294"/>
      <c r="T483" s="300"/>
      <c r="U483" s="306"/>
      <c r="V483" s="308"/>
      <c r="W483" s="248"/>
      <c r="X483" s="342"/>
      <c r="Y483" s="336"/>
      <c r="Z483" s="123"/>
      <c r="AA483" s="33"/>
      <c r="AB483" s="123"/>
      <c r="AC483" s="33"/>
      <c r="AD483" s="123"/>
      <c r="AE483" s="33"/>
      <c r="AF483" s="123"/>
      <c r="AG483" s="243"/>
      <c r="AH483" s="33"/>
      <c r="AI483" s="245"/>
      <c r="AJ483" s="125"/>
      <c r="AK483" s="91"/>
      <c r="AL483" s="126"/>
      <c r="AM483" s="91"/>
      <c r="AN483" s="91"/>
      <c r="AO483" s="197">
        <f t="shared" si="31"/>
        <v>0</v>
      </c>
      <c r="AP483" s="126"/>
      <c r="AQ483" s="216"/>
      <c r="AR483" s="127"/>
      <c r="AS483" s="269"/>
      <c r="AT483" s="94"/>
      <c r="AU483" s="84"/>
      <c r="AV483" s="80"/>
      <c r="AW483" s="81"/>
      <c r="AX483" s="77"/>
      <c r="AY483" s="107"/>
      <c r="AZ483" s="220">
        <f t="shared" si="28"/>
        <v>0</v>
      </c>
      <c r="BA483" s="220">
        <f t="shared" si="29"/>
        <v>0</v>
      </c>
    </row>
    <row r="484" spans="1:53" ht="50.1" customHeight="1" x14ac:dyDescent="0.25">
      <c r="A484" s="17">
        <f t="shared" si="30"/>
        <v>470</v>
      </c>
      <c r="B484" s="229"/>
      <c r="C484" s="222"/>
      <c r="D484" s="112"/>
      <c r="E484" s="128"/>
      <c r="F484" s="129"/>
      <c r="G484" s="130"/>
      <c r="H484" s="131"/>
      <c r="I484" s="132"/>
      <c r="J484" s="108"/>
      <c r="K484" s="133"/>
      <c r="L484" s="134"/>
      <c r="M484" s="334"/>
      <c r="N484" s="343"/>
      <c r="O484" s="194"/>
      <c r="P484" s="190"/>
      <c r="Q484" s="194"/>
      <c r="R484" s="190"/>
      <c r="S484" s="297"/>
      <c r="T484" s="303"/>
      <c r="U484" s="294"/>
      <c r="V484" s="300"/>
      <c r="W484" s="249"/>
      <c r="X484" s="344"/>
      <c r="Y484" s="337"/>
      <c r="Z484" s="33"/>
      <c r="AA484" s="83"/>
      <c r="AB484" s="33"/>
      <c r="AC484" s="83"/>
      <c r="AD484" s="33"/>
      <c r="AE484" s="83"/>
      <c r="AF484" s="33"/>
      <c r="AG484" s="244"/>
      <c r="AH484" s="83"/>
      <c r="AI484" s="246"/>
      <c r="AJ484" s="102"/>
      <c r="AK484" s="92"/>
      <c r="AL484" s="91"/>
      <c r="AM484" s="92"/>
      <c r="AN484" s="351"/>
      <c r="AO484" s="197">
        <f t="shared" si="31"/>
        <v>0</v>
      </c>
      <c r="AP484" s="91"/>
      <c r="AQ484" s="217"/>
      <c r="AR484" s="103"/>
      <c r="AS484" s="264"/>
      <c r="AT484" s="94"/>
      <c r="AU484" s="84"/>
      <c r="AV484" s="136"/>
      <c r="AW484" s="77"/>
      <c r="AX484" s="137"/>
      <c r="AY484" s="138"/>
      <c r="AZ484" s="220">
        <f t="shared" si="28"/>
        <v>0</v>
      </c>
      <c r="BA484" s="220">
        <f t="shared" si="29"/>
        <v>0</v>
      </c>
    </row>
    <row r="485" spans="1:53" ht="50.1" customHeight="1" x14ac:dyDescent="0.25">
      <c r="A485" s="17">
        <f t="shared" si="30"/>
        <v>471</v>
      </c>
      <c r="B485" s="228"/>
      <c r="C485" s="221"/>
      <c r="D485" s="88"/>
      <c r="E485" s="100"/>
      <c r="F485" s="95"/>
      <c r="G485" s="114"/>
      <c r="H485" s="96"/>
      <c r="I485" s="97"/>
      <c r="J485" s="98"/>
      <c r="K485" s="101"/>
      <c r="L485" s="124"/>
      <c r="M485" s="333"/>
      <c r="N485" s="341"/>
      <c r="O485" s="190"/>
      <c r="P485" s="191"/>
      <c r="Q485" s="190"/>
      <c r="R485" s="191"/>
      <c r="S485" s="294"/>
      <c r="T485" s="300"/>
      <c r="U485" s="306"/>
      <c r="V485" s="308"/>
      <c r="W485" s="248"/>
      <c r="X485" s="342"/>
      <c r="Y485" s="336"/>
      <c r="Z485" s="123"/>
      <c r="AA485" s="33"/>
      <c r="AB485" s="123"/>
      <c r="AC485" s="33"/>
      <c r="AD485" s="123"/>
      <c r="AE485" s="33"/>
      <c r="AF485" s="123"/>
      <c r="AG485" s="243"/>
      <c r="AH485" s="33"/>
      <c r="AI485" s="245"/>
      <c r="AJ485" s="125"/>
      <c r="AK485" s="91"/>
      <c r="AL485" s="126"/>
      <c r="AM485" s="91"/>
      <c r="AN485" s="91"/>
      <c r="AO485" s="197">
        <f t="shared" si="31"/>
        <v>0</v>
      </c>
      <c r="AP485" s="126"/>
      <c r="AQ485" s="216"/>
      <c r="AR485" s="127"/>
      <c r="AS485" s="269"/>
      <c r="AT485" s="94"/>
      <c r="AU485" s="84"/>
      <c r="AV485" s="80"/>
      <c r="AW485" s="81"/>
      <c r="AX485" s="77"/>
      <c r="AY485" s="107"/>
      <c r="AZ485" s="220">
        <f t="shared" si="28"/>
        <v>0</v>
      </c>
      <c r="BA485" s="220">
        <f t="shared" si="29"/>
        <v>0</v>
      </c>
    </row>
    <row r="486" spans="1:53" ht="50.1" customHeight="1" x14ac:dyDescent="0.25">
      <c r="A486" s="17">
        <f t="shared" si="30"/>
        <v>472</v>
      </c>
      <c r="B486" s="229"/>
      <c r="C486" s="222"/>
      <c r="D486" s="112"/>
      <c r="E486" s="128"/>
      <c r="F486" s="129"/>
      <c r="G486" s="130"/>
      <c r="H486" s="131"/>
      <c r="I486" s="132"/>
      <c r="J486" s="108"/>
      <c r="K486" s="133"/>
      <c r="L486" s="134"/>
      <c r="M486" s="334"/>
      <c r="N486" s="343"/>
      <c r="O486" s="194"/>
      <c r="P486" s="190"/>
      <c r="Q486" s="194"/>
      <c r="R486" s="190"/>
      <c r="S486" s="297"/>
      <c r="T486" s="303"/>
      <c r="U486" s="294"/>
      <c r="V486" s="300"/>
      <c r="W486" s="249"/>
      <c r="X486" s="344"/>
      <c r="Y486" s="337"/>
      <c r="Z486" s="33"/>
      <c r="AA486" s="83"/>
      <c r="AB486" s="33"/>
      <c r="AC486" s="83"/>
      <c r="AD486" s="33"/>
      <c r="AE486" s="83"/>
      <c r="AF486" s="33"/>
      <c r="AG486" s="244"/>
      <c r="AH486" s="83"/>
      <c r="AI486" s="246"/>
      <c r="AJ486" s="102"/>
      <c r="AK486" s="92"/>
      <c r="AL486" s="91"/>
      <c r="AM486" s="92"/>
      <c r="AN486" s="351"/>
      <c r="AO486" s="197">
        <f t="shared" si="31"/>
        <v>0</v>
      </c>
      <c r="AP486" s="91"/>
      <c r="AQ486" s="217"/>
      <c r="AR486" s="103"/>
      <c r="AS486" s="264"/>
      <c r="AT486" s="94"/>
      <c r="AU486" s="84"/>
      <c r="AV486" s="136"/>
      <c r="AW486" s="77"/>
      <c r="AX486" s="137"/>
      <c r="AY486" s="138"/>
      <c r="AZ486" s="220">
        <f t="shared" si="28"/>
        <v>0</v>
      </c>
      <c r="BA486" s="220">
        <f t="shared" si="29"/>
        <v>0</v>
      </c>
    </row>
    <row r="487" spans="1:53" ht="50.1" customHeight="1" x14ac:dyDescent="0.25">
      <c r="A487" s="17">
        <f t="shared" si="30"/>
        <v>473</v>
      </c>
      <c r="B487" s="228"/>
      <c r="C487" s="221"/>
      <c r="D487" s="88"/>
      <c r="E487" s="100"/>
      <c r="F487" s="95"/>
      <c r="G487" s="114"/>
      <c r="H487" s="96"/>
      <c r="I487" s="97"/>
      <c r="J487" s="98"/>
      <c r="K487" s="101"/>
      <c r="L487" s="124"/>
      <c r="M487" s="333"/>
      <c r="N487" s="341"/>
      <c r="O487" s="190"/>
      <c r="P487" s="191"/>
      <c r="Q487" s="190"/>
      <c r="R487" s="191"/>
      <c r="S487" s="294"/>
      <c r="T487" s="300"/>
      <c r="U487" s="306"/>
      <c r="V487" s="308"/>
      <c r="W487" s="248"/>
      <c r="X487" s="342"/>
      <c r="Y487" s="336"/>
      <c r="Z487" s="123"/>
      <c r="AA487" s="33"/>
      <c r="AB487" s="123"/>
      <c r="AC487" s="33"/>
      <c r="AD487" s="123"/>
      <c r="AE487" s="33"/>
      <c r="AF487" s="123"/>
      <c r="AG487" s="243"/>
      <c r="AH487" s="33"/>
      <c r="AI487" s="245"/>
      <c r="AJ487" s="125"/>
      <c r="AK487" s="91"/>
      <c r="AL487" s="126"/>
      <c r="AM487" s="91"/>
      <c r="AN487" s="91"/>
      <c r="AO487" s="197">
        <f t="shared" si="31"/>
        <v>0</v>
      </c>
      <c r="AP487" s="126"/>
      <c r="AQ487" s="216"/>
      <c r="AR487" s="127"/>
      <c r="AS487" s="269"/>
      <c r="AT487" s="94"/>
      <c r="AU487" s="84"/>
      <c r="AV487" s="80"/>
      <c r="AW487" s="81"/>
      <c r="AX487" s="77"/>
      <c r="AY487" s="107"/>
      <c r="AZ487" s="220">
        <f t="shared" si="28"/>
        <v>0</v>
      </c>
      <c r="BA487" s="220">
        <f t="shared" si="29"/>
        <v>0</v>
      </c>
    </row>
    <row r="488" spans="1:53" ht="50.1" customHeight="1" x14ac:dyDescent="0.25">
      <c r="A488" s="17">
        <f t="shared" si="30"/>
        <v>474</v>
      </c>
      <c r="B488" s="229"/>
      <c r="C488" s="222"/>
      <c r="D488" s="112"/>
      <c r="E488" s="128"/>
      <c r="F488" s="129"/>
      <c r="G488" s="130"/>
      <c r="H488" s="131"/>
      <c r="I488" s="132"/>
      <c r="J488" s="108"/>
      <c r="K488" s="133"/>
      <c r="L488" s="134"/>
      <c r="M488" s="334"/>
      <c r="N488" s="343"/>
      <c r="O488" s="194"/>
      <c r="P488" s="190"/>
      <c r="Q488" s="194"/>
      <c r="R488" s="190"/>
      <c r="S488" s="297"/>
      <c r="T488" s="303"/>
      <c r="U488" s="294"/>
      <c r="V488" s="300"/>
      <c r="W488" s="249"/>
      <c r="X488" s="344"/>
      <c r="Y488" s="337"/>
      <c r="Z488" s="33"/>
      <c r="AA488" s="83"/>
      <c r="AB488" s="33"/>
      <c r="AC488" s="83"/>
      <c r="AD488" s="33"/>
      <c r="AE488" s="83"/>
      <c r="AF488" s="33"/>
      <c r="AG488" s="244"/>
      <c r="AH488" s="83"/>
      <c r="AI488" s="246"/>
      <c r="AJ488" s="102"/>
      <c r="AK488" s="92"/>
      <c r="AL488" s="91"/>
      <c r="AM488" s="92"/>
      <c r="AN488" s="351"/>
      <c r="AO488" s="197">
        <f t="shared" si="31"/>
        <v>0</v>
      </c>
      <c r="AP488" s="91"/>
      <c r="AQ488" s="217"/>
      <c r="AR488" s="103"/>
      <c r="AS488" s="264"/>
      <c r="AT488" s="94"/>
      <c r="AU488" s="84"/>
      <c r="AV488" s="136"/>
      <c r="AW488" s="77"/>
      <c r="AX488" s="137"/>
      <c r="AY488" s="138"/>
      <c r="AZ488" s="220">
        <f t="shared" si="28"/>
        <v>0</v>
      </c>
      <c r="BA488" s="220">
        <f t="shared" si="29"/>
        <v>0</v>
      </c>
    </row>
    <row r="489" spans="1:53" ht="50.1" customHeight="1" x14ac:dyDescent="0.25">
      <c r="A489" s="17">
        <f t="shared" si="30"/>
        <v>475</v>
      </c>
      <c r="B489" s="228"/>
      <c r="C489" s="221"/>
      <c r="D489" s="88"/>
      <c r="E489" s="100"/>
      <c r="F489" s="95"/>
      <c r="G489" s="114"/>
      <c r="H489" s="96"/>
      <c r="I489" s="97"/>
      <c r="J489" s="98"/>
      <c r="K489" s="101"/>
      <c r="L489" s="124"/>
      <c r="M489" s="333"/>
      <c r="N489" s="341"/>
      <c r="O489" s="190"/>
      <c r="P489" s="191"/>
      <c r="Q489" s="190"/>
      <c r="R489" s="191"/>
      <c r="S489" s="294"/>
      <c r="T489" s="300"/>
      <c r="U489" s="306"/>
      <c r="V489" s="308"/>
      <c r="W489" s="248"/>
      <c r="X489" s="342"/>
      <c r="Y489" s="336"/>
      <c r="Z489" s="123"/>
      <c r="AA489" s="33"/>
      <c r="AB489" s="123"/>
      <c r="AC489" s="33"/>
      <c r="AD489" s="123"/>
      <c r="AE489" s="33"/>
      <c r="AF489" s="123"/>
      <c r="AG489" s="243"/>
      <c r="AH489" s="33"/>
      <c r="AI489" s="245"/>
      <c r="AJ489" s="125"/>
      <c r="AK489" s="91"/>
      <c r="AL489" s="126"/>
      <c r="AM489" s="91"/>
      <c r="AN489" s="91"/>
      <c r="AO489" s="197">
        <f t="shared" si="31"/>
        <v>0</v>
      </c>
      <c r="AP489" s="126"/>
      <c r="AQ489" s="216"/>
      <c r="AR489" s="127"/>
      <c r="AS489" s="269"/>
      <c r="AT489" s="94"/>
      <c r="AU489" s="84"/>
      <c r="AV489" s="80"/>
      <c r="AW489" s="81"/>
      <c r="AX489" s="77"/>
      <c r="AY489" s="107"/>
      <c r="AZ489" s="220">
        <f t="shared" si="28"/>
        <v>0</v>
      </c>
      <c r="BA489" s="220">
        <f t="shared" si="29"/>
        <v>0</v>
      </c>
    </row>
    <row r="490" spans="1:53" ht="50.1" customHeight="1" x14ac:dyDescent="0.25">
      <c r="A490" s="17">
        <f t="shared" si="30"/>
        <v>476</v>
      </c>
      <c r="B490" s="229"/>
      <c r="C490" s="222"/>
      <c r="D490" s="112"/>
      <c r="E490" s="128"/>
      <c r="F490" s="129"/>
      <c r="G490" s="130"/>
      <c r="H490" s="131"/>
      <c r="I490" s="132"/>
      <c r="J490" s="108"/>
      <c r="K490" s="133"/>
      <c r="L490" s="134"/>
      <c r="M490" s="334"/>
      <c r="N490" s="343"/>
      <c r="O490" s="194"/>
      <c r="P490" s="190"/>
      <c r="Q490" s="194"/>
      <c r="R490" s="190"/>
      <c r="S490" s="297"/>
      <c r="T490" s="303"/>
      <c r="U490" s="294"/>
      <c r="V490" s="300"/>
      <c r="W490" s="249"/>
      <c r="X490" s="344"/>
      <c r="Y490" s="337"/>
      <c r="Z490" s="33"/>
      <c r="AA490" s="83"/>
      <c r="AB490" s="33"/>
      <c r="AC490" s="83"/>
      <c r="AD490" s="33"/>
      <c r="AE490" s="83"/>
      <c r="AF490" s="33"/>
      <c r="AG490" s="244"/>
      <c r="AH490" s="83"/>
      <c r="AI490" s="246"/>
      <c r="AJ490" s="102"/>
      <c r="AK490" s="92"/>
      <c r="AL490" s="91"/>
      <c r="AM490" s="92"/>
      <c r="AN490" s="351"/>
      <c r="AO490" s="197">
        <f t="shared" si="31"/>
        <v>0</v>
      </c>
      <c r="AP490" s="91"/>
      <c r="AQ490" s="217"/>
      <c r="AR490" s="103"/>
      <c r="AS490" s="264"/>
      <c r="AT490" s="94"/>
      <c r="AU490" s="84"/>
      <c r="AV490" s="136"/>
      <c r="AW490" s="77"/>
      <c r="AX490" s="137"/>
      <c r="AY490" s="138"/>
      <c r="AZ490" s="220">
        <f t="shared" si="28"/>
        <v>0</v>
      </c>
      <c r="BA490" s="220">
        <f t="shared" si="29"/>
        <v>0</v>
      </c>
    </row>
    <row r="491" spans="1:53" ht="50.1" customHeight="1" x14ac:dyDescent="0.25">
      <c r="A491" s="17">
        <f t="shared" si="30"/>
        <v>477</v>
      </c>
      <c r="B491" s="228"/>
      <c r="C491" s="221"/>
      <c r="D491" s="88"/>
      <c r="E491" s="100"/>
      <c r="F491" s="95"/>
      <c r="G491" s="114"/>
      <c r="H491" s="96"/>
      <c r="I491" s="97"/>
      <c r="J491" s="98"/>
      <c r="K491" s="101"/>
      <c r="L491" s="124"/>
      <c r="M491" s="333"/>
      <c r="N491" s="341"/>
      <c r="O491" s="82"/>
      <c r="P491" s="93"/>
      <c r="Q491" s="82"/>
      <c r="R491" s="93"/>
      <c r="S491" s="298"/>
      <c r="T491" s="304"/>
      <c r="U491" s="307"/>
      <c r="V491" s="309"/>
      <c r="W491" s="248"/>
      <c r="X491" s="342"/>
      <c r="Y491" s="336"/>
      <c r="Z491" s="123"/>
      <c r="AA491" s="33"/>
      <c r="AB491" s="123"/>
      <c r="AC491" s="33"/>
      <c r="AD491" s="123"/>
      <c r="AE491" s="33"/>
      <c r="AF491" s="123"/>
      <c r="AG491" s="243"/>
      <c r="AH491" s="33"/>
      <c r="AI491" s="245"/>
      <c r="AJ491" s="125"/>
      <c r="AK491" s="91"/>
      <c r="AL491" s="126"/>
      <c r="AM491" s="91"/>
      <c r="AN491" s="91"/>
      <c r="AO491" s="197">
        <f t="shared" si="31"/>
        <v>0</v>
      </c>
      <c r="AP491" s="126"/>
      <c r="AQ491" s="216"/>
      <c r="AR491" s="127"/>
      <c r="AS491" s="269"/>
      <c r="AT491" s="94"/>
      <c r="AU491" s="84"/>
      <c r="AV491" s="80"/>
      <c r="AW491" s="81"/>
      <c r="AX491" s="77"/>
      <c r="AY491" s="107"/>
      <c r="AZ491" s="220">
        <f t="shared" si="28"/>
        <v>0</v>
      </c>
      <c r="BA491" s="220">
        <f t="shared" si="29"/>
        <v>0</v>
      </c>
    </row>
    <row r="492" spans="1:53" ht="50.1" customHeight="1" x14ac:dyDescent="0.25">
      <c r="A492" s="17">
        <f t="shared" si="30"/>
        <v>478</v>
      </c>
      <c r="B492" s="229"/>
      <c r="C492" s="222"/>
      <c r="D492" s="112"/>
      <c r="E492" s="128"/>
      <c r="F492" s="129"/>
      <c r="G492" s="130"/>
      <c r="H492" s="131"/>
      <c r="I492" s="132"/>
      <c r="J492" s="108"/>
      <c r="K492" s="133"/>
      <c r="L492" s="134"/>
      <c r="M492" s="334"/>
      <c r="N492" s="343"/>
      <c r="O492" s="135"/>
      <c r="P492" s="82"/>
      <c r="Q492" s="135"/>
      <c r="R492" s="82"/>
      <c r="S492" s="299"/>
      <c r="T492" s="305"/>
      <c r="U492" s="298"/>
      <c r="V492" s="304"/>
      <c r="W492" s="249"/>
      <c r="X492" s="344"/>
      <c r="Y492" s="337"/>
      <c r="Z492" s="33"/>
      <c r="AA492" s="83"/>
      <c r="AB492" s="33"/>
      <c r="AC492" s="83"/>
      <c r="AD492" s="33"/>
      <c r="AE492" s="83"/>
      <c r="AF492" s="33"/>
      <c r="AG492" s="244"/>
      <c r="AH492" s="83"/>
      <c r="AI492" s="246"/>
      <c r="AJ492" s="102"/>
      <c r="AK492" s="92"/>
      <c r="AL492" s="91"/>
      <c r="AM492" s="92"/>
      <c r="AN492" s="351"/>
      <c r="AO492" s="197">
        <f t="shared" si="31"/>
        <v>0</v>
      </c>
      <c r="AP492" s="91"/>
      <c r="AQ492" s="217"/>
      <c r="AR492" s="103"/>
      <c r="AS492" s="264"/>
      <c r="AT492" s="94"/>
      <c r="AU492" s="84"/>
      <c r="AV492" s="136"/>
      <c r="AW492" s="77"/>
      <c r="AX492" s="137"/>
      <c r="AY492" s="138"/>
      <c r="AZ492" s="220">
        <f t="shared" si="28"/>
        <v>0</v>
      </c>
      <c r="BA492" s="220">
        <f t="shared" si="29"/>
        <v>0</v>
      </c>
    </row>
    <row r="493" spans="1:53" ht="50.1" customHeight="1" x14ac:dyDescent="0.25">
      <c r="A493" s="17">
        <f t="shared" si="30"/>
        <v>479</v>
      </c>
      <c r="B493" s="228"/>
      <c r="C493" s="221"/>
      <c r="D493" s="88"/>
      <c r="E493" s="100"/>
      <c r="F493" s="95"/>
      <c r="G493" s="114"/>
      <c r="H493" s="96"/>
      <c r="I493" s="97"/>
      <c r="J493" s="98"/>
      <c r="K493" s="101"/>
      <c r="L493" s="124"/>
      <c r="M493" s="333"/>
      <c r="N493" s="341"/>
      <c r="O493" s="82"/>
      <c r="P493" s="93"/>
      <c r="Q493" s="82"/>
      <c r="R493" s="93"/>
      <c r="S493" s="298"/>
      <c r="T493" s="304"/>
      <c r="U493" s="307"/>
      <c r="V493" s="309"/>
      <c r="W493" s="248"/>
      <c r="X493" s="342"/>
      <c r="Y493" s="336"/>
      <c r="Z493" s="123"/>
      <c r="AA493" s="33"/>
      <c r="AB493" s="123"/>
      <c r="AC493" s="33"/>
      <c r="AD493" s="123"/>
      <c r="AE493" s="33"/>
      <c r="AF493" s="123"/>
      <c r="AG493" s="243"/>
      <c r="AH493" s="33"/>
      <c r="AI493" s="245"/>
      <c r="AJ493" s="125"/>
      <c r="AK493" s="91"/>
      <c r="AL493" s="126"/>
      <c r="AM493" s="91"/>
      <c r="AN493" s="91"/>
      <c r="AO493" s="197">
        <f t="shared" si="31"/>
        <v>0</v>
      </c>
      <c r="AP493" s="126"/>
      <c r="AQ493" s="216"/>
      <c r="AR493" s="127"/>
      <c r="AS493" s="269"/>
      <c r="AT493" s="94"/>
      <c r="AU493" s="84"/>
      <c r="AV493" s="80"/>
      <c r="AW493" s="81"/>
      <c r="AX493" s="77"/>
      <c r="AY493" s="107"/>
      <c r="AZ493" s="220">
        <f t="shared" si="28"/>
        <v>0</v>
      </c>
      <c r="BA493" s="220">
        <f t="shared" si="29"/>
        <v>0</v>
      </c>
    </row>
    <row r="494" spans="1:53" ht="50.1" customHeight="1" x14ac:dyDescent="0.25">
      <c r="A494" s="17">
        <f t="shared" si="30"/>
        <v>480</v>
      </c>
      <c r="B494" s="229"/>
      <c r="C494" s="222"/>
      <c r="D494" s="112"/>
      <c r="E494" s="128"/>
      <c r="F494" s="129"/>
      <c r="G494" s="130"/>
      <c r="H494" s="131"/>
      <c r="I494" s="132"/>
      <c r="J494" s="108"/>
      <c r="K494" s="133"/>
      <c r="L494" s="134"/>
      <c r="M494" s="334"/>
      <c r="N494" s="343"/>
      <c r="O494" s="135"/>
      <c r="P494" s="82"/>
      <c r="Q494" s="135"/>
      <c r="R494" s="82"/>
      <c r="S494" s="299"/>
      <c r="T494" s="305"/>
      <c r="U494" s="298"/>
      <c r="V494" s="304"/>
      <c r="W494" s="249"/>
      <c r="X494" s="344"/>
      <c r="Y494" s="337"/>
      <c r="Z494" s="33"/>
      <c r="AA494" s="83"/>
      <c r="AB494" s="33"/>
      <c r="AC494" s="83"/>
      <c r="AD494" s="33"/>
      <c r="AE494" s="83"/>
      <c r="AF494" s="33"/>
      <c r="AG494" s="244"/>
      <c r="AH494" s="83"/>
      <c r="AI494" s="246"/>
      <c r="AJ494" s="102"/>
      <c r="AK494" s="92"/>
      <c r="AL494" s="91"/>
      <c r="AM494" s="92"/>
      <c r="AN494" s="351"/>
      <c r="AO494" s="197">
        <f t="shared" si="31"/>
        <v>0</v>
      </c>
      <c r="AP494" s="91"/>
      <c r="AQ494" s="217"/>
      <c r="AR494" s="103"/>
      <c r="AS494" s="264"/>
      <c r="AT494" s="94"/>
      <c r="AU494" s="84"/>
      <c r="AV494" s="136"/>
      <c r="AW494" s="77"/>
      <c r="AX494" s="137"/>
      <c r="AY494" s="138"/>
      <c r="AZ494" s="220">
        <f t="shared" si="28"/>
        <v>0</v>
      </c>
      <c r="BA494" s="220">
        <f t="shared" si="29"/>
        <v>0</v>
      </c>
    </row>
    <row r="495" spans="1:53" ht="50.1" customHeight="1" x14ac:dyDescent="0.25">
      <c r="A495" s="17">
        <f t="shared" si="30"/>
        <v>481</v>
      </c>
      <c r="B495" s="228"/>
      <c r="C495" s="221"/>
      <c r="D495" s="88"/>
      <c r="E495" s="100"/>
      <c r="F495" s="95"/>
      <c r="G495" s="114"/>
      <c r="H495" s="96"/>
      <c r="I495" s="97"/>
      <c r="J495" s="98"/>
      <c r="K495" s="101"/>
      <c r="L495" s="124"/>
      <c r="M495" s="333"/>
      <c r="N495" s="341"/>
      <c r="O495" s="82"/>
      <c r="P495" s="93"/>
      <c r="Q495" s="82"/>
      <c r="R495" s="93"/>
      <c r="S495" s="298"/>
      <c r="T495" s="304"/>
      <c r="U495" s="307"/>
      <c r="V495" s="309"/>
      <c r="W495" s="248"/>
      <c r="X495" s="342"/>
      <c r="Y495" s="336"/>
      <c r="Z495" s="123"/>
      <c r="AA495" s="33"/>
      <c r="AB495" s="123"/>
      <c r="AC495" s="33"/>
      <c r="AD495" s="123"/>
      <c r="AE495" s="33"/>
      <c r="AF495" s="123"/>
      <c r="AG495" s="243"/>
      <c r="AH495" s="33"/>
      <c r="AI495" s="245"/>
      <c r="AJ495" s="125"/>
      <c r="AK495" s="91"/>
      <c r="AL495" s="126"/>
      <c r="AM495" s="91"/>
      <c r="AN495" s="91"/>
      <c r="AO495" s="197">
        <f t="shared" si="31"/>
        <v>0</v>
      </c>
      <c r="AP495" s="126"/>
      <c r="AQ495" s="216"/>
      <c r="AR495" s="127"/>
      <c r="AS495" s="269"/>
      <c r="AT495" s="94"/>
      <c r="AU495" s="84"/>
      <c r="AV495" s="80"/>
      <c r="AW495" s="81"/>
      <c r="AX495" s="77"/>
      <c r="AY495" s="107"/>
      <c r="AZ495" s="220">
        <f t="shared" si="28"/>
        <v>0</v>
      </c>
      <c r="BA495" s="220">
        <f t="shared" si="29"/>
        <v>0</v>
      </c>
    </row>
    <row r="496" spans="1:53" ht="50.1" customHeight="1" x14ac:dyDescent="0.25">
      <c r="A496" s="17">
        <f t="shared" si="30"/>
        <v>482</v>
      </c>
      <c r="B496" s="229"/>
      <c r="C496" s="222"/>
      <c r="D496" s="112"/>
      <c r="E496" s="128"/>
      <c r="F496" s="129"/>
      <c r="G496" s="130"/>
      <c r="H496" s="131"/>
      <c r="I496" s="132"/>
      <c r="J496" s="108"/>
      <c r="K496" s="133"/>
      <c r="L496" s="134"/>
      <c r="M496" s="334"/>
      <c r="N496" s="343"/>
      <c r="O496" s="135"/>
      <c r="P496" s="82"/>
      <c r="Q496" s="135"/>
      <c r="R496" s="82"/>
      <c r="S496" s="299"/>
      <c r="T496" s="305"/>
      <c r="U496" s="298"/>
      <c r="V496" s="304"/>
      <c r="W496" s="249"/>
      <c r="X496" s="344"/>
      <c r="Y496" s="337"/>
      <c r="Z496" s="33"/>
      <c r="AA496" s="83"/>
      <c r="AB496" s="33"/>
      <c r="AC496" s="83"/>
      <c r="AD496" s="33"/>
      <c r="AE496" s="83"/>
      <c r="AF496" s="33"/>
      <c r="AG496" s="244"/>
      <c r="AH496" s="83"/>
      <c r="AI496" s="246"/>
      <c r="AJ496" s="102"/>
      <c r="AK496" s="92"/>
      <c r="AL496" s="91"/>
      <c r="AM496" s="92"/>
      <c r="AN496" s="351"/>
      <c r="AO496" s="197">
        <f t="shared" si="31"/>
        <v>0</v>
      </c>
      <c r="AP496" s="91"/>
      <c r="AQ496" s="217"/>
      <c r="AR496" s="103"/>
      <c r="AS496" s="264"/>
      <c r="AT496" s="94"/>
      <c r="AU496" s="84"/>
      <c r="AV496" s="136"/>
      <c r="AW496" s="77"/>
      <c r="AX496" s="137"/>
      <c r="AY496" s="138"/>
      <c r="AZ496" s="220">
        <f t="shared" si="28"/>
        <v>0</v>
      </c>
      <c r="BA496" s="220">
        <f t="shared" si="29"/>
        <v>0</v>
      </c>
    </row>
    <row r="497" spans="1:53" ht="50.1" customHeight="1" x14ac:dyDescent="0.25">
      <c r="A497" s="17">
        <f t="shared" si="30"/>
        <v>483</v>
      </c>
      <c r="B497" s="228"/>
      <c r="C497" s="221"/>
      <c r="D497" s="88"/>
      <c r="E497" s="100"/>
      <c r="F497" s="95"/>
      <c r="G497" s="114"/>
      <c r="H497" s="96"/>
      <c r="I497" s="97"/>
      <c r="J497" s="98"/>
      <c r="K497" s="101"/>
      <c r="L497" s="124"/>
      <c r="M497" s="333"/>
      <c r="N497" s="341"/>
      <c r="O497" s="82"/>
      <c r="P497" s="93"/>
      <c r="Q497" s="82"/>
      <c r="R497" s="93"/>
      <c r="S497" s="298"/>
      <c r="T497" s="304"/>
      <c r="U497" s="307"/>
      <c r="V497" s="309"/>
      <c r="W497" s="248"/>
      <c r="X497" s="342"/>
      <c r="Y497" s="336"/>
      <c r="Z497" s="123"/>
      <c r="AA497" s="33"/>
      <c r="AB497" s="123"/>
      <c r="AC497" s="33"/>
      <c r="AD497" s="123"/>
      <c r="AE497" s="33"/>
      <c r="AF497" s="123"/>
      <c r="AG497" s="243"/>
      <c r="AH497" s="33"/>
      <c r="AI497" s="245"/>
      <c r="AJ497" s="125"/>
      <c r="AK497" s="91"/>
      <c r="AL497" s="126"/>
      <c r="AM497" s="91"/>
      <c r="AN497" s="91"/>
      <c r="AO497" s="197">
        <f t="shared" si="31"/>
        <v>0</v>
      </c>
      <c r="AP497" s="126"/>
      <c r="AQ497" s="216"/>
      <c r="AR497" s="127"/>
      <c r="AS497" s="269"/>
      <c r="AT497" s="94"/>
      <c r="AU497" s="84"/>
      <c r="AV497" s="80"/>
      <c r="AW497" s="81"/>
      <c r="AX497" s="77"/>
      <c r="AY497" s="107"/>
      <c r="AZ497" s="220">
        <f t="shared" si="28"/>
        <v>0</v>
      </c>
      <c r="BA497" s="220">
        <f t="shared" si="29"/>
        <v>0</v>
      </c>
    </row>
    <row r="498" spans="1:53" ht="50.1" customHeight="1" x14ac:dyDescent="0.25">
      <c r="A498" s="17">
        <f t="shared" si="30"/>
        <v>484</v>
      </c>
      <c r="B498" s="229"/>
      <c r="C498" s="222"/>
      <c r="D498" s="112"/>
      <c r="E498" s="128"/>
      <c r="F498" s="129"/>
      <c r="G498" s="130"/>
      <c r="H498" s="131"/>
      <c r="I498" s="132"/>
      <c r="J498" s="108"/>
      <c r="K498" s="133"/>
      <c r="L498" s="134"/>
      <c r="M498" s="334"/>
      <c r="N498" s="343"/>
      <c r="O498" s="135"/>
      <c r="P498" s="82"/>
      <c r="Q498" s="135"/>
      <c r="R498" s="82"/>
      <c r="S498" s="299"/>
      <c r="T498" s="305"/>
      <c r="U498" s="298"/>
      <c r="V498" s="304"/>
      <c r="W498" s="249"/>
      <c r="X498" s="344"/>
      <c r="Y498" s="337"/>
      <c r="Z498" s="33"/>
      <c r="AA498" s="83"/>
      <c r="AB498" s="33"/>
      <c r="AC498" s="83"/>
      <c r="AD498" s="33"/>
      <c r="AE498" s="83"/>
      <c r="AF498" s="33"/>
      <c r="AG498" s="244"/>
      <c r="AH498" s="83"/>
      <c r="AI498" s="246"/>
      <c r="AJ498" s="102"/>
      <c r="AK498" s="92"/>
      <c r="AL498" s="91"/>
      <c r="AM498" s="92"/>
      <c r="AN498" s="351"/>
      <c r="AO498" s="197">
        <f t="shared" si="31"/>
        <v>0</v>
      </c>
      <c r="AP498" s="91"/>
      <c r="AQ498" s="217"/>
      <c r="AR498" s="103"/>
      <c r="AS498" s="264"/>
      <c r="AT498" s="94"/>
      <c r="AU498" s="84"/>
      <c r="AV498" s="136"/>
      <c r="AW498" s="77"/>
      <c r="AX498" s="137"/>
      <c r="AY498" s="138"/>
      <c r="AZ498" s="220">
        <f t="shared" si="28"/>
        <v>0</v>
      </c>
      <c r="BA498" s="220">
        <f t="shared" si="29"/>
        <v>0</v>
      </c>
    </row>
    <row r="499" spans="1:53" ht="50.1" customHeight="1" x14ac:dyDescent="0.25">
      <c r="A499" s="17">
        <f t="shared" si="30"/>
        <v>485</v>
      </c>
      <c r="B499" s="228"/>
      <c r="C499" s="221"/>
      <c r="D499" s="88"/>
      <c r="E499" s="100"/>
      <c r="F499" s="95"/>
      <c r="G499" s="114"/>
      <c r="H499" s="96"/>
      <c r="I499" s="97"/>
      <c r="J499" s="98"/>
      <c r="K499" s="101"/>
      <c r="L499" s="124"/>
      <c r="M499" s="333"/>
      <c r="N499" s="341"/>
      <c r="O499" s="82"/>
      <c r="P499" s="93"/>
      <c r="Q499" s="82"/>
      <c r="R499" s="93"/>
      <c r="S499" s="298"/>
      <c r="T499" s="304"/>
      <c r="U499" s="307"/>
      <c r="V499" s="309"/>
      <c r="W499" s="248"/>
      <c r="X499" s="342"/>
      <c r="Y499" s="336"/>
      <c r="Z499" s="123"/>
      <c r="AA499" s="33"/>
      <c r="AB499" s="123"/>
      <c r="AC499" s="33"/>
      <c r="AD499" s="123"/>
      <c r="AE499" s="33"/>
      <c r="AF499" s="123"/>
      <c r="AG499" s="243"/>
      <c r="AH499" s="33"/>
      <c r="AI499" s="245"/>
      <c r="AJ499" s="125"/>
      <c r="AK499" s="91"/>
      <c r="AL499" s="126"/>
      <c r="AM499" s="91"/>
      <c r="AN499" s="91"/>
      <c r="AO499" s="197">
        <f t="shared" si="31"/>
        <v>0</v>
      </c>
      <c r="AP499" s="126"/>
      <c r="AQ499" s="216"/>
      <c r="AR499" s="127"/>
      <c r="AS499" s="269"/>
      <c r="AT499" s="94"/>
      <c r="AU499" s="84"/>
      <c r="AV499" s="80"/>
      <c r="AW499" s="81"/>
      <c r="AX499" s="77"/>
      <c r="AY499" s="107"/>
      <c r="AZ499" s="220">
        <f t="shared" si="28"/>
        <v>0</v>
      </c>
      <c r="BA499" s="220">
        <f t="shared" si="29"/>
        <v>0</v>
      </c>
    </row>
    <row r="500" spans="1:53" ht="50.1" customHeight="1" x14ac:dyDescent="0.25">
      <c r="A500" s="17">
        <f t="shared" si="30"/>
        <v>486</v>
      </c>
      <c r="B500" s="229"/>
      <c r="C500" s="222"/>
      <c r="D500" s="112"/>
      <c r="E500" s="128"/>
      <c r="F500" s="129"/>
      <c r="G500" s="130"/>
      <c r="H500" s="131"/>
      <c r="I500" s="132"/>
      <c r="J500" s="108"/>
      <c r="K500" s="133"/>
      <c r="L500" s="134"/>
      <c r="M500" s="334"/>
      <c r="N500" s="343"/>
      <c r="O500" s="135"/>
      <c r="P500" s="82"/>
      <c r="Q500" s="135"/>
      <c r="R500" s="82"/>
      <c r="S500" s="299"/>
      <c r="T500" s="305"/>
      <c r="U500" s="298"/>
      <c r="V500" s="304"/>
      <c r="W500" s="249"/>
      <c r="X500" s="344"/>
      <c r="Y500" s="337"/>
      <c r="Z500" s="33"/>
      <c r="AA500" s="83"/>
      <c r="AB500" s="33"/>
      <c r="AC500" s="83"/>
      <c r="AD500" s="33"/>
      <c r="AE500" s="83"/>
      <c r="AF500" s="33"/>
      <c r="AG500" s="244"/>
      <c r="AH500" s="83"/>
      <c r="AI500" s="246"/>
      <c r="AJ500" s="102"/>
      <c r="AK500" s="92"/>
      <c r="AL500" s="91"/>
      <c r="AM500" s="92"/>
      <c r="AN500" s="351"/>
      <c r="AO500" s="197">
        <f t="shared" si="31"/>
        <v>0</v>
      </c>
      <c r="AP500" s="91"/>
      <c r="AQ500" s="217"/>
      <c r="AR500" s="103"/>
      <c r="AS500" s="264"/>
      <c r="AT500" s="94"/>
      <c r="AU500" s="84"/>
      <c r="AV500" s="136"/>
      <c r="AW500" s="77"/>
      <c r="AX500" s="137"/>
      <c r="AY500" s="138"/>
      <c r="AZ500" s="220">
        <f t="shared" si="28"/>
        <v>0</v>
      </c>
      <c r="BA500" s="220">
        <f t="shared" si="29"/>
        <v>0</v>
      </c>
    </row>
    <row r="501" spans="1:53" ht="50.1" customHeight="1" x14ac:dyDescent="0.25">
      <c r="A501" s="17">
        <f t="shared" si="30"/>
        <v>487</v>
      </c>
      <c r="B501" s="228"/>
      <c r="C501" s="221"/>
      <c r="D501" s="88"/>
      <c r="E501" s="100"/>
      <c r="F501" s="95"/>
      <c r="G501" s="114"/>
      <c r="H501" s="96"/>
      <c r="I501" s="97"/>
      <c r="J501" s="98"/>
      <c r="K501" s="101"/>
      <c r="L501" s="124"/>
      <c r="M501" s="333"/>
      <c r="N501" s="341"/>
      <c r="O501" s="82"/>
      <c r="P501" s="93"/>
      <c r="Q501" s="82"/>
      <c r="R501" s="93"/>
      <c r="S501" s="298"/>
      <c r="T501" s="304"/>
      <c r="U501" s="307"/>
      <c r="V501" s="309"/>
      <c r="W501" s="248"/>
      <c r="X501" s="342"/>
      <c r="Y501" s="336"/>
      <c r="Z501" s="123"/>
      <c r="AA501" s="33"/>
      <c r="AB501" s="123"/>
      <c r="AC501" s="33"/>
      <c r="AD501" s="123"/>
      <c r="AE501" s="33"/>
      <c r="AF501" s="123"/>
      <c r="AG501" s="243"/>
      <c r="AH501" s="33"/>
      <c r="AI501" s="245"/>
      <c r="AJ501" s="125"/>
      <c r="AK501" s="91"/>
      <c r="AL501" s="126"/>
      <c r="AM501" s="91"/>
      <c r="AN501" s="91"/>
      <c r="AO501" s="197">
        <f t="shared" si="31"/>
        <v>0</v>
      </c>
      <c r="AP501" s="126"/>
      <c r="AQ501" s="216"/>
      <c r="AR501" s="127"/>
      <c r="AS501" s="269"/>
      <c r="AT501" s="94"/>
      <c r="AU501" s="84"/>
      <c r="AV501" s="80"/>
      <c r="AW501" s="81"/>
      <c r="AX501" s="77"/>
      <c r="AY501" s="107"/>
      <c r="AZ501" s="220">
        <f t="shared" si="28"/>
        <v>0</v>
      </c>
      <c r="BA501" s="220">
        <f t="shared" si="29"/>
        <v>0</v>
      </c>
    </row>
    <row r="502" spans="1:53" ht="50.1" customHeight="1" x14ac:dyDescent="0.25">
      <c r="A502" s="17">
        <f t="shared" si="30"/>
        <v>488</v>
      </c>
      <c r="B502" s="229"/>
      <c r="C502" s="222"/>
      <c r="D502" s="112"/>
      <c r="E502" s="128"/>
      <c r="F502" s="129"/>
      <c r="G502" s="130"/>
      <c r="H502" s="131"/>
      <c r="I502" s="132"/>
      <c r="J502" s="108"/>
      <c r="K502" s="133"/>
      <c r="L502" s="134"/>
      <c r="M502" s="334"/>
      <c r="N502" s="343"/>
      <c r="O502" s="135"/>
      <c r="P502" s="82"/>
      <c r="Q502" s="135"/>
      <c r="R502" s="82"/>
      <c r="S502" s="299"/>
      <c r="T502" s="305"/>
      <c r="U502" s="298"/>
      <c r="V502" s="304"/>
      <c r="W502" s="249"/>
      <c r="X502" s="344"/>
      <c r="Y502" s="337"/>
      <c r="Z502" s="33"/>
      <c r="AA502" s="83"/>
      <c r="AB502" s="33"/>
      <c r="AC502" s="83"/>
      <c r="AD502" s="33"/>
      <c r="AE502" s="83"/>
      <c r="AF502" s="33"/>
      <c r="AG502" s="244"/>
      <c r="AH502" s="83"/>
      <c r="AI502" s="246"/>
      <c r="AJ502" s="102"/>
      <c r="AK502" s="92"/>
      <c r="AL502" s="91"/>
      <c r="AM502" s="92"/>
      <c r="AN502" s="351"/>
      <c r="AO502" s="197">
        <f t="shared" si="31"/>
        <v>0</v>
      </c>
      <c r="AP502" s="91"/>
      <c r="AQ502" s="217"/>
      <c r="AR502" s="103"/>
      <c r="AS502" s="264"/>
      <c r="AT502" s="94"/>
      <c r="AU502" s="84"/>
      <c r="AV502" s="136"/>
      <c r="AW502" s="77"/>
      <c r="AX502" s="137"/>
      <c r="AY502" s="138"/>
      <c r="AZ502" s="220">
        <f t="shared" si="28"/>
        <v>0</v>
      </c>
      <c r="BA502" s="220">
        <f t="shared" si="29"/>
        <v>0</v>
      </c>
    </row>
    <row r="503" spans="1:53" ht="50.1" customHeight="1" x14ac:dyDescent="0.25">
      <c r="A503" s="17">
        <f t="shared" si="30"/>
        <v>489</v>
      </c>
      <c r="B503" s="228"/>
      <c r="C503" s="221"/>
      <c r="D503" s="88"/>
      <c r="E503" s="100"/>
      <c r="F503" s="95"/>
      <c r="G503" s="114"/>
      <c r="H503" s="96"/>
      <c r="I503" s="97"/>
      <c r="J503" s="98"/>
      <c r="K503" s="101"/>
      <c r="L503" s="124"/>
      <c r="M503" s="333"/>
      <c r="N503" s="341"/>
      <c r="O503" s="82"/>
      <c r="P503" s="93"/>
      <c r="Q503" s="82"/>
      <c r="R503" s="93"/>
      <c r="S503" s="298"/>
      <c r="T503" s="304"/>
      <c r="U503" s="307"/>
      <c r="V503" s="309"/>
      <c r="W503" s="248"/>
      <c r="X503" s="342"/>
      <c r="Y503" s="336"/>
      <c r="Z503" s="123"/>
      <c r="AA503" s="33"/>
      <c r="AB503" s="123"/>
      <c r="AC503" s="33"/>
      <c r="AD503" s="123"/>
      <c r="AE503" s="33"/>
      <c r="AF503" s="123"/>
      <c r="AG503" s="243"/>
      <c r="AH503" s="33"/>
      <c r="AI503" s="245"/>
      <c r="AJ503" s="125"/>
      <c r="AK503" s="91"/>
      <c r="AL503" s="126"/>
      <c r="AM503" s="91"/>
      <c r="AN503" s="91"/>
      <c r="AO503" s="197">
        <f t="shared" si="31"/>
        <v>0</v>
      </c>
      <c r="AP503" s="126"/>
      <c r="AQ503" s="216"/>
      <c r="AR503" s="127"/>
      <c r="AS503" s="269"/>
      <c r="AT503" s="94"/>
      <c r="AU503" s="84"/>
      <c r="AV503" s="80"/>
      <c r="AW503" s="81"/>
      <c r="AX503" s="77"/>
      <c r="AY503" s="107"/>
      <c r="AZ503" s="220">
        <f t="shared" si="28"/>
        <v>0</v>
      </c>
      <c r="BA503" s="220">
        <f t="shared" si="29"/>
        <v>0</v>
      </c>
    </row>
    <row r="504" spans="1:53" ht="50.1" customHeight="1" x14ac:dyDescent="0.25">
      <c r="A504" s="17">
        <f t="shared" si="30"/>
        <v>490</v>
      </c>
      <c r="B504" s="229"/>
      <c r="C504" s="222"/>
      <c r="D504" s="112"/>
      <c r="E504" s="128"/>
      <c r="F504" s="129"/>
      <c r="G504" s="130"/>
      <c r="H504" s="131"/>
      <c r="I504" s="132"/>
      <c r="J504" s="108"/>
      <c r="K504" s="133"/>
      <c r="L504" s="134"/>
      <c r="M504" s="334"/>
      <c r="N504" s="343"/>
      <c r="O504" s="135"/>
      <c r="P504" s="82"/>
      <c r="Q504" s="135"/>
      <c r="R504" s="82"/>
      <c r="S504" s="299"/>
      <c r="T504" s="305"/>
      <c r="U504" s="298"/>
      <c r="V504" s="304"/>
      <c r="W504" s="249"/>
      <c r="X504" s="344"/>
      <c r="Y504" s="337"/>
      <c r="Z504" s="33"/>
      <c r="AA504" s="83"/>
      <c r="AB504" s="33"/>
      <c r="AC504" s="83"/>
      <c r="AD504" s="33"/>
      <c r="AE504" s="83"/>
      <c r="AF504" s="33"/>
      <c r="AG504" s="244"/>
      <c r="AH504" s="83"/>
      <c r="AI504" s="246"/>
      <c r="AJ504" s="102"/>
      <c r="AK504" s="92"/>
      <c r="AL504" s="91"/>
      <c r="AM504" s="92"/>
      <c r="AN504" s="351"/>
      <c r="AO504" s="197">
        <f t="shared" si="31"/>
        <v>0</v>
      </c>
      <c r="AP504" s="91"/>
      <c r="AQ504" s="217"/>
      <c r="AR504" s="103"/>
      <c r="AS504" s="264"/>
      <c r="AT504" s="94"/>
      <c r="AU504" s="84"/>
      <c r="AV504" s="136"/>
      <c r="AW504" s="77"/>
      <c r="AX504" s="137"/>
      <c r="AY504" s="138"/>
      <c r="AZ504" s="220">
        <f t="shared" si="28"/>
        <v>0</v>
      </c>
      <c r="BA504" s="220">
        <f t="shared" si="29"/>
        <v>0</v>
      </c>
    </row>
    <row r="505" spans="1:53" ht="50.1" customHeight="1" x14ac:dyDescent="0.25">
      <c r="A505" s="17">
        <f t="shared" si="30"/>
        <v>491</v>
      </c>
      <c r="B505" s="228"/>
      <c r="C505" s="221"/>
      <c r="D505" s="88"/>
      <c r="E505" s="100"/>
      <c r="F505" s="95"/>
      <c r="G505" s="114"/>
      <c r="H505" s="96"/>
      <c r="I505" s="97"/>
      <c r="J505" s="98"/>
      <c r="K505" s="101"/>
      <c r="L505" s="124"/>
      <c r="M505" s="333"/>
      <c r="N505" s="346"/>
      <c r="O505" s="82"/>
      <c r="P505" s="93"/>
      <c r="Q505" s="82"/>
      <c r="R505" s="93"/>
      <c r="S505" s="298"/>
      <c r="T505" s="304"/>
      <c r="U505" s="307"/>
      <c r="V505" s="309"/>
      <c r="W505" s="248"/>
      <c r="X505" s="342"/>
      <c r="Y505" s="336"/>
      <c r="Z505" s="123"/>
      <c r="AA505" s="33"/>
      <c r="AB505" s="123"/>
      <c r="AC505" s="33"/>
      <c r="AD505" s="123"/>
      <c r="AE505" s="33"/>
      <c r="AF505" s="123"/>
      <c r="AG505" s="243"/>
      <c r="AH505" s="33"/>
      <c r="AI505" s="245"/>
      <c r="AJ505" s="125"/>
      <c r="AK505" s="91"/>
      <c r="AL505" s="126"/>
      <c r="AM505" s="91"/>
      <c r="AN505" s="91"/>
      <c r="AO505" s="197">
        <f t="shared" si="31"/>
        <v>0</v>
      </c>
      <c r="AP505" s="126"/>
      <c r="AQ505" s="216"/>
      <c r="AR505" s="127"/>
      <c r="AS505" s="269"/>
      <c r="AT505" s="94"/>
      <c r="AU505" s="84"/>
      <c r="AV505" s="80"/>
      <c r="AW505" s="81"/>
      <c r="AX505" s="77"/>
      <c r="AY505" s="107"/>
      <c r="AZ505" s="220">
        <f t="shared" si="28"/>
        <v>0</v>
      </c>
      <c r="BA505" s="220">
        <f t="shared" si="29"/>
        <v>0</v>
      </c>
    </row>
    <row r="506" spans="1:53" ht="50.1" customHeight="1" x14ac:dyDescent="0.25">
      <c r="A506" s="17">
        <f t="shared" si="30"/>
        <v>492</v>
      </c>
      <c r="B506" s="229"/>
      <c r="C506" s="222"/>
      <c r="D506" s="112"/>
      <c r="E506" s="128"/>
      <c r="F506" s="129"/>
      <c r="G506" s="130"/>
      <c r="H506" s="131"/>
      <c r="I506" s="132"/>
      <c r="J506" s="108"/>
      <c r="K506" s="133"/>
      <c r="L506" s="134"/>
      <c r="M506" s="334"/>
      <c r="N506" s="343"/>
      <c r="O506" s="135"/>
      <c r="P506" s="82"/>
      <c r="Q506" s="135"/>
      <c r="R506" s="82"/>
      <c r="S506" s="299"/>
      <c r="T506" s="305"/>
      <c r="U506" s="298"/>
      <c r="V506" s="304"/>
      <c r="W506" s="249"/>
      <c r="X506" s="344"/>
      <c r="Y506" s="337"/>
      <c r="Z506" s="33"/>
      <c r="AA506" s="83"/>
      <c r="AB506" s="33"/>
      <c r="AC506" s="83"/>
      <c r="AD506" s="33"/>
      <c r="AE506" s="83"/>
      <c r="AF506" s="33"/>
      <c r="AG506" s="244"/>
      <c r="AH506" s="83"/>
      <c r="AI506" s="246"/>
      <c r="AJ506" s="102"/>
      <c r="AK506" s="92"/>
      <c r="AL506" s="91"/>
      <c r="AM506" s="92"/>
      <c r="AN506" s="351"/>
      <c r="AO506" s="197">
        <f t="shared" si="31"/>
        <v>0</v>
      </c>
      <c r="AP506" s="91"/>
      <c r="AQ506" s="217"/>
      <c r="AR506" s="103"/>
      <c r="AS506" s="264"/>
      <c r="AT506" s="94"/>
      <c r="AU506" s="84"/>
      <c r="AV506" s="136"/>
      <c r="AW506" s="77"/>
      <c r="AX506" s="137"/>
      <c r="AY506" s="138"/>
      <c r="AZ506" s="220">
        <f t="shared" si="28"/>
        <v>0</v>
      </c>
      <c r="BA506" s="220">
        <f t="shared" si="29"/>
        <v>0</v>
      </c>
    </row>
    <row r="507" spans="1:53" ht="50.1" customHeight="1" x14ac:dyDescent="0.25">
      <c r="A507" s="17">
        <f t="shared" si="30"/>
        <v>493</v>
      </c>
      <c r="B507" s="228"/>
      <c r="C507" s="221"/>
      <c r="D507" s="88"/>
      <c r="E507" s="100"/>
      <c r="F507" s="95"/>
      <c r="G507" s="114"/>
      <c r="H507" s="96"/>
      <c r="I507" s="97"/>
      <c r="J507" s="98"/>
      <c r="K507" s="101"/>
      <c r="L507" s="124"/>
      <c r="M507" s="333"/>
      <c r="N507" s="341"/>
      <c r="O507" s="82"/>
      <c r="P507" s="93"/>
      <c r="Q507" s="82"/>
      <c r="R507" s="93"/>
      <c r="S507" s="298"/>
      <c r="T507" s="304"/>
      <c r="U507" s="307"/>
      <c r="V507" s="309"/>
      <c r="W507" s="248"/>
      <c r="X507" s="342"/>
      <c r="Y507" s="336"/>
      <c r="Z507" s="123"/>
      <c r="AA507" s="33"/>
      <c r="AB507" s="123"/>
      <c r="AC507" s="33"/>
      <c r="AD507" s="123"/>
      <c r="AE507" s="33"/>
      <c r="AF507" s="123"/>
      <c r="AG507" s="243"/>
      <c r="AH507" s="33"/>
      <c r="AI507" s="245"/>
      <c r="AJ507" s="125"/>
      <c r="AK507" s="91"/>
      <c r="AL507" s="126"/>
      <c r="AM507" s="91"/>
      <c r="AN507" s="91"/>
      <c r="AO507" s="197">
        <f t="shared" si="31"/>
        <v>0</v>
      </c>
      <c r="AP507" s="126"/>
      <c r="AQ507" s="216"/>
      <c r="AR507" s="127"/>
      <c r="AS507" s="269"/>
      <c r="AT507" s="94"/>
      <c r="AU507" s="84"/>
      <c r="AV507" s="80"/>
      <c r="AW507" s="81"/>
      <c r="AX507" s="77"/>
      <c r="AY507" s="107"/>
      <c r="AZ507" s="220">
        <f t="shared" si="28"/>
        <v>0</v>
      </c>
      <c r="BA507" s="220">
        <f t="shared" si="29"/>
        <v>0</v>
      </c>
    </row>
    <row r="508" spans="1:53" ht="50.1" customHeight="1" x14ac:dyDescent="0.25">
      <c r="A508" s="17">
        <f t="shared" si="30"/>
        <v>494</v>
      </c>
      <c r="B508" s="229"/>
      <c r="C508" s="222"/>
      <c r="D508" s="112"/>
      <c r="E508" s="128"/>
      <c r="F508" s="129"/>
      <c r="G508" s="130"/>
      <c r="H508" s="131"/>
      <c r="I508" s="132"/>
      <c r="J508" s="108"/>
      <c r="K508" s="133"/>
      <c r="L508" s="134"/>
      <c r="M508" s="334"/>
      <c r="N508" s="343"/>
      <c r="O508" s="135"/>
      <c r="P508" s="82"/>
      <c r="Q508" s="135"/>
      <c r="R508" s="82"/>
      <c r="S508" s="299"/>
      <c r="T508" s="305"/>
      <c r="U508" s="298"/>
      <c r="V508" s="304"/>
      <c r="W508" s="249"/>
      <c r="X508" s="344"/>
      <c r="Y508" s="337"/>
      <c r="Z508" s="33"/>
      <c r="AA508" s="83"/>
      <c r="AB508" s="33"/>
      <c r="AC508" s="83"/>
      <c r="AD508" s="33"/>
      <c r="AE508" s="83"/>
      <c r="AF508" s="33"/>
      <c r="AG508" s="244"/>
      <c r="AH508" s="83"/>
      <c r="AI508" s="246"/>
      <c r="AJ508" s="102"/>
      <c r="AK508" s="92"/>
      <c r="AL508" s="91"/>
      <c r="AM508" s="92"/>
      <c r="AN508" s="351"/>
      <c r="AO508" s="197">
        <f t="shared" si="31"/>
        <v>0</v>
      </c>
      <c r="AP508" s="91"/>
      <c r="AQ508" s="217"/>
      <c r="AR508" s="103"/>
      <c r="AS508" s="264"/>
      <c r="AT508" s="94"/>
      <c r="AU508" s="84"/>
      <c r="AV508" s="136"/>
      <c r="AW508" s="77"/>
      <c r="AX508" s="137"/>
      <c r="AY508" s="138"/>
      <c r="AZ508" s="220">
        <f t="shared" si="28"/>
        <v>0</v>
      </c>
      <c r="BA508" s="220">
        <f t="shared" si="29"/>
        <v>0</v>
      </c>
    </row>
    <row r="509" spans="1:53" ht="50.1" customHeight="1" x14ac:dyDescent="0.25">
      <c r="A509" s="17">
        <f t="shared" si="30"/>
        <v>495</v>
      </c>
      <c r="B509" s="228"/>
      <c r="C509" s="221"/>
      <c r="D509" s="88"/>
      <c r="E509" s="100"/>
      <c r="F509" s="95"/>
      <c r="G509" s="114"/>
      <c r="H509" s="96"/>
      <c r="I509" s="97"/>
      <c r="J509" s="98"/>
      <c r="K509" s="101"/>
      <c r="L509" s="124"/>
      <c r="M509" s="333"/>
      <c r="N509" s="341"/>
      <c r="O509" s="82"/>
      <c r="P509" s="93"/>
      <c r="Q509" s="82"/>
      <c r="R509" s="93"/>
      <c r="S509" s="298"/>
      <c r="T509" s="304"/>
      <c r="U509" s="307"/>
      <c r="V509" s="309"/>
      <c r="W509" s="248"/>
      <c r="X509" s="342"/>
      <c r="Y509" s="336"/>
      <c r="Z509" s="123"/>
      <c r="AA509" s="33"/>
      <c r="AB509" s="123"/>
      <c r="AC509" s="33"/>
      <c r="AD509" s="123"/>
      <c r="AE509" s="33"/>
      <c r="AF509" s="123"/>
      <c r="AG509" s="243"/>
      <c r="AH509" s="33"/>
      <c r="AI509" s="245"/>
      <c r="AJ509" s="125"/>
      <c r="AK509" s="91"/>
      <c r="AL509" s="126"/>
      <c r="AM509" s="91"/>
      <c r="AN509" s="91"/>
      <c r="AO509" s="197">
        <f t="shared" si="31"/>
        <v>0</v>
      </c>
      <c r="AP509" s="126"/>
      <c r="AQ509" s="216"/>
      <c r="AR509" s="127"/>
      <c r="AS509" s="269"/>
      <c r="AT509" s="94"/>
      <c r="AU509" s="84"/>
      <c r="AV509" s="80"/>
      <c r="AW509" s="81"/>
      <c r="AX509" s="77"/>
      <c r="AY509" s="107"/>
      <c r="AZ509" s="220">
        <f t="shared" si="28"/>
        <v>0</v>
      </c>
      <c r="BA509" s="220">
        <f t="shared" si="29"/>
        <v>0</v>
      </c>
    </row>
    <row r="510" spans="1:53" ht="50.1" customHeight="1" x14ac:dyDescent="0.25">
      <c r="A510" s="17">
        <f t="shared" si="30"/>
        <v>496</v>
      </c>
      <c r="B510" s="229"/>
      <c r="C510" s="222"/>
      <c r="D510" s="112"/>
      <c r="E510" s="128"/>
      <c r="F510" s="129"/>
      <c r="G510" s="130"/>
      <c r="H510" s="131"/>
      <c r="I510" s="132"/>
      <c r="J510" s="108"/>
      <c r="K510" s="133"/>
      <c r="L510" s="134"/>
      <c r="M510" s="334"/>
      <c r="N510" s="343"/>
      <c r="O510" s="135"/>
      <c r="P510" s="82"/>
      <c r="Q510" s="135"/>
      <c r="R510" s="82"/>
      <c r="S510" s="299"/>
      <c r="T510" s="305"/>
      <c r="U510" s="298"/>
      <c r="V510" s="304"/>
      <c r="W510" s="249"/>
      <c r="X510" s="344"/>
      <c r="Y510" s="337"/>
      <c r="Z510" s="33"/>
      <c r="AA510" s="83"/>
      <c r="AB510" s="33"/>
      <c r="AC510" s="83"/>
      <c r="AD510" s="33"/>
      <c r="AE510" s="83"/>
      <c r="AF510" s="33"/>
      <c r="AG510" s="244"/>
      <c r="AH510" s="83"/>
      <c r="AI510" s="246"/>
      <c r="AJ510" s="102"/>
      <c r="AK510" s="92"/>
      <c r="AL510" s="91"/>
      <c r="AM510" s="92"/>
      <c r="AN510" s="351"/>
      <c r="AO510" s="197">
        <f t="shared" si="31"/>
        <v>0</v>
      </c>
      <c r="AP510" s="91"/>
      <c r="AQ510" s="217"/>
      <c r="AR510" s="103"/>
      <c r="AS510" s="264"/>
      <c r="AT510" s="94"/>
      <c r="AU510" s="84"/>
      <c r="AV510" s="136"/>
      <c r="AW510" s="77"/>
      <c r="AX510" s="137"/>
      <c r="AY510" s="138"/>
      <c r="AZ510" s="220">
        <f t="shared" si="28"/>
        <v>0</v>
      </c>
      <c r="BA510" s="220">
        <f t="shared" si="29"/>
        <v>0</v>
      </c>
    </row>
    <row r="511" spans="1:53" ht="50.1" customHeight="1" x14ac:dyDescent="0.25">
      <c r="A511" s="17">
        <f t="shared" si="30"/>
        <v>497</v>
      </c>
      <c r="B511" s="228"/>
      <c r="C511" s="221"/>
      <c r="D511" s="88"/>
      <c r="E511" s="100"/>
      <c r="F511" s="95"/>
      <c r="G511" s="114"/>
      <c r="H511" s="96"/>
      <c r="I511" s="97"/>
      <c r="J511" s="98"/>
      <c r="K511" s="101"/>
      <c r="L511" s="124"/>
      <c r="M511" s="333"/>
      <c r="N511" s="341"/>
      <c r="O511" s="82"/>
      <c r="P511" s="93"/>
      <c r="Q511" s="82"/>
      <c r="R511" s="93"/>
      <c r="S511" s="298"/>
      <c r="T511" s="304"/>
      <c r="U511" s="307"/>
      <c r="V511" s="309"/>
      <c r="W511" s="248"/>
      <c r="X511" s="342"/>
      <c r="Y511" s="336"/>
      <c r="Z511" s="123"/>
      <c r="AA511" s="33"/>
      <c r="AB511" s="123"/>
      <c r="AC511" s="33"/>
      <c r="AD511" s="123"/>
      <c r="AE511" s="33"/>
      <c r="AF511" s="123"/>
      <c r="AG511" s="243"/>
      <c r="AH511" s="33"/>
      <c r="AI511" s="245"/>
      <c r="AJ511" s="125"/>
      <c r="AK511" s="91"/>
      <c r="AL511" s="126"/>
      <c r="AM511" s="91"/>
      <c r="AN511" s="91"/>
      <c r="AO511" s="197">
        <f t="shared" si="31"/>
        <v>0</v>
      </c>
      <c r="AP511" s="126"/>
      <c r="AQ511" s="216"/>
      <c r="AR511" s="127"/>
      <c r="AS511" s="269"/>
      <c r="AT511" s="94"/>
      <c r="AU511" s="84"/>
      <c r="AV511" s="80"/>
      <c r="AW511" s="81"/>
      <c r="AX511" s="77"/>
      <c r="AY511" s="107"/>
      <c r="AZ511" s="220">
        <f t="shared" si="28"/>
        <v>0</v>
      </c>
      <c r="BA511" s="220">
        <f t="shared" si="29"/>
        <v>0</v>
      </c>
    </row>
    <row r="512" spans="1:53" ht="50.1" customHeight="1" x14ac:dyDescent="0.25">
      <c r="A512" s="17">
        <f t="shared" si="30"/>
        <v>498</v>
      </c>
      <c r="B512" s="229"/>
      <c r="C512" s="222"/>
      <c r="D512" s="112"/>
      <c r="E512" s="128"/>
      <c r="F512" s="129"/>
      <c r="G512" s="130"/>
      <c r="H512" s="131"/>
      <c r="I512" s="132"/>
      <c r="J512" s="108"/>
      <c r="K512" s="133"/>
      <c r="L512" s="134"/>
      <c r="M512" s="334"/>
      <c r="N512" s="343"/>
      <c r="O512" s="135"/>
      <c r="P512" s="82"/>
      <c r="Q512" s="135"/>
      <c r="R512" s="82"/>
      <c r="S512" s="299"/>
      <c r="T512" s="305"/>
      <c r="U512" s="298"/>
      <c r="V512" s="304"/>
      <c r="W512" s="249"/>
      <c r="X512" s="344"/>
      <c r="Y512" s="337"/>
      <c r="Z512" s="33"/>
      <c r="AA512" s="83"/>
      <c r="AB512" s="33"/>
      <c r="AC512" s="83"/>
      <c r="AD512" s="33"/>
      <c r="AE512" s="83"/>
      <c r="AF512" s="33"/>
      <c r="AG512" s="244"/>
      <c r="AH512" s="83"/>
      <c r="AI512" s="246"/>
      <c r="AJ512" s="102"/>
      <c r="AK512" s="92"/>
      <c r="AL512" s="91"/>
      <c r="AM512" s="92"/>
      <c r="AN512" s="351"/>
      <c r="AO512" s="197">
        <f t="shared" si="31"/>
        <v>0</v>
      </c>
      <c r="AP512" s="91"/>
      <c r="AQ512" s="217"/>
      <c r="AR512" s="103"/>
      <c r="AS512" s="264"/>
      <c r="AT512" s="94"/>
      <c r="AU512" s="84"/>
      <c r="AV512" s="136"/>
      <c r="AW512" s="77"/>
      <c r="AX512" s="137"/>
      <c r="AY512" s="138"/>
      <c r="AZ512" s="220">
        <f t="shared" si="28"/>
        <v>0</v>
      </c>
      <c r="BA512" s="220">
        <f t="shared" si="29"/>
        <v>0</v>
      </c>
    </row>
    <row r="513" spans="1:53" ht="50.1" customHeight="1" x14ac:dyDescent="0.25">
      <c r="A513" s="17">
        <f t="shared" si="30"/>
        <v>499</v>
      </c>
      <c r="B513" s="228"/>
      <c r="C513" s="221"/>
      <c r="D513" s="88"/>
      <c r="E513" s="100"/>
      <c r="F513" s="95"/>
      <c r="G513" s="114"/>
      <c r="H513" s="96"/>
      <c r="I513" s="97"/>
      <c r="J513" s="98"/>
      <c r="K513" s="101"/>
      <c r="L513" s="124"/>
      <c r="M513" s="333"/>
      <c r="N513" s="341"/>
      <c r="O513" s="82"/>
      <c r="P513" s="93"/>
      <c r="Q513" s="82"/>
      <c r="R513" s="93"/>
      <c r="S513" s="298"/>
      <c r="T513" s="304"/>
      <c r="U513" s="307"/>
      <c r="V513" s="309"/>
      <c r="W513" s="248"/>
      <c r="X513" s="342"/>
      <c r="Y513" s="336"/>
      <c r="Z513" s="123"/>
      <c r="AA513" s="33"/>
      <c r="AB513" s="123"/>
      <c r="AC513" s="33"/>
      <c r="AD513" s="123"/>
      <c r="AE513" s="33"/>
      <c r="AF513" s="123"/>
      <c r="AG513" s="243"/>
      <c r="AH513" s="33"/>
      <c r="AI513" s="245"/>
      <c r="AJ513" s="125"/>
      <c r="AK513" s="91"/>
      <c r="AL513" s="126"/>
      <c r="AM513" s="91"/>
      <c r="AN513" s="91"/>
      <c r="AO513" s="197">
        <f t="shared" si="31"/>
        <v>0</v>
      </c>
      <c r="AP513" s="126"/>
      <c r="AQ513" s="216"/>
      <c r="AR513" s="127"/>
      <c r="AS513" s="269"/>
      <c r="AT513" s="94"/>
      <c r="AU513" s="84"/>
      <c r="AV513" s="80"/>
      <c r="AW513" s="81"/>
      <c r="AX513" s="77"/>
      <c r="AY513" s="107"/>
      <c r="AZ513" s="220">
        <f t="shared" si="28"/>
        <v>0</v>
      </c>
      <c r="BA513" s="220">
        <f t="shared" si="29"/>
        <v>0</v>
      </c>
    </row>
    <row r="514" spans="1:53" ht="50.1" customHeight="1" x14ac:dyDescent="0.25">
      <c r="A514" s="17">
        <f t="shared" si="30"/>
        <v>500</v>
      </c>
      <c r="B514" s="229"/>
      <c r="C514" s="222"/>
      <c r="D514" s="112"/>
      <c r="E514" s="128"/>
      <c r="F514" s="129"/>
      <c r="G514" s="130"/>
      <c r="H514" s="131"/>
      <c r="I514" s="132"/>
      <c r="J514" s="108"/>
      <c r="K514" s="133"/>
      <c r="L514" s="134"/>
      <c r="M514" s="334"/>
      <c r="N514" s="343"/>
      <c r="O514" s="135"/>
      <c r="P514" s="82"/>
      <c r="Q514" s="135"/>
      <c r="R514" s="82"/>
      <c r="S514" s="299"/>
      <c r="T514" s="305"/>
      <c r="U514" s="298"/>
      <c r="V514" s="304"/>
      <c r="W514" s="249"/>
      <c r="X514" s="344"/>
      <c r="Y514" s="337"/>
      <c r="Z514" s="33"/>
      <c r="AA514" s="83"/>
      <c r="AB514" s="33"/>
      <c r="AC514" s="83"/>
      <c r="AD514" s="33"/>
      <c r="AE514" s="83"/>
      <c r="AF514" s="33"/>
      <c r="AG514" s="244"/>
      <c r="AH514" s="83"/>
      <c r="AI514" s="246"/>
      <c r="AJ514" s="102"/>
      <c r="AK514" s="92"/>
      <c r="AL514" s="91"/>
      <c r="AM514" s="92"/>
      <c r="AN514" s="351"/>
      <c r="AO514" s="197">
        <f t="shared" si="31"/>
        <v>0</v>
      </c>
      <c r="AP514" s="91"/>
      <c r="AQ514" s="217"/>
      <c r="AR514" s="103"/>
      <c r="AS514" s="264"/>
      <c r="AT514" s="94"/>
      <c r="AU514" s="84"/>
      <c r="AV514" s="136"/>
      <c r="AW514" s="77"/>
      <c r="AX514" s="137"/>
      <c r="AY514" s="138"/>
      <c r="AZ514" s="220">
        <f t="shared" si="28"/>
        <v>0</v>
      </c>
      <c r="BA514" s="220">
        <f t="shared" si="29"/>
        <v>0</v>
      </c>
    </row>
    <row r="515" spans="1:53" ht="50.1" customHeight="1" x14ac:dyDescent="0.25">
      <c r="A515" s="17">
        <f t="shared" si="30"/>
        <v>501</v>
      </c>
      <c r="B515" s="228"/>
      <c r="C515" s="221"/>
      <c r="D515" s="88"/>
      <c r="E515" s="100"/>
      <c r="F515" s="95"/>
      <c r="G515" s="114"/>
      <c r="H515" s="96"/>
      <c r="I515" s="97"/>
      <c r="J515" s="98"/>
      <c r="K515" s="101"/>
      <c r="L515" s="124"/>
      <c r="M515" s="333"/>
      <c r="N515" s="341"/>
      <c r="O515" s="82"/>
      <c r="P515" s="93"/>
      <c r="Q515" s="82"/>
      <c r="R515" s="93"/>
      <c r="S515" s="298"/>
      <c r="T515" s="304"/>
      <c r="U515" s="307"/>
      <c r="V515" s="309"/>
      <c r="W515" s="248"/>
      <c r="X515" s="342"/>
      <c r="Y515" s="336"/>
      <c r="Z515" s="123"/>
      <c r="AA515" s="33"/>
      <c r="AB515" s="123"/>
      <c r="AC515" s="33"/>
      <c r="AD515" s="123"/>
      <c r="AE515" s="33"/>
      <c r="AF515" s="123"/>
      <c r="AG515" s="243"/>
      <c r="AH515" s="33"/>
      <c r="AI515" s="245"/>
      <c r="AJ515" s="125"/>
      <c r="AK515" s="91"/>
      <c r="AL515" s="126"/>
      <c r="AM515" s="91"/>
      <c r="AN515" s="91"/>
      <c r="AO515" s="197">
        <f t="shared" si="31"/>
        <v>0</v>
      </c>
      <c r="AP515" s="126"/>
      <c r="AQ515" s="216"/>
      <c r="AR515" s="127"/>
      <c r="AS515" s="269"/>
      <c r="AT515" s="94"/>
      <c r="AU515" s="84"/>
      <c r="AV515" s="80"/>
      <c r="AW515" s="81"/>
      <c r="AX515" s="77"/>
      <c r="AY515" s="107"/>
      <c r="AZ515" s="220">
        <f t="shared" si="28"/>
        <v>0</v>
      </c>
      <c r="BA515" s="220">
        <f t="shared" si="29"/>
        <v>0</v>
      </c>
    </row>
    <row r="516" spans="1:53" ht="50.1" customHeight="1" x14ac:dyDescent="0.25">
      <c r="A516" s="17">
        <f t="shared" si="30"/>
        <v>502</v>
      </c>
      <c r="B516" s="229"/>
      <c r="C516" s="222"/>
      <c r="D516" s="112"/>
      <c r="E516" s="128"/>
      <c r="F516" s="129"/>
      <c r="G516" s="130"/>
      <c r="H516" s="131"/>
      <c r="I516" s="132"/>
      <c r="J516" s="108"/>
      <c r="K516" s="133"/>
      <c r="L516" s="134"/>
      <c r="M516" s="334"/>
      <c r="N516" s="343"/>
      <c r="O516" s="135"/>
      <c r="P516" s="82"/>
      <c r="Q516" s="135"/>
      <c r="R516" s="82"/>
      <c r="S516" s="299"/>
      <c r="T516" s="305"/>
      <c r="U516" s="298"/>
      <c r="V516" s="304"/>
      <c r="W516" s="249"/>
      <c r="X516" s="344"/>
      <c r="Y516" s="337"/>
      <c r="Z516" s="33"/>
      <c r="AA516" s="83"/>
      <c r="AB516" s="33"/>
      <c r="AC516" s="83"/>
      <c r="AD516" s="33"/>
      <c r="AE516" s="83"/>
      <c r="AF516" s="33"/>
      <c r="AG516" s="244"/>
      <c r="AH516" s="83"/>
      <c r="AI516" s="246"/>
      <c r="AJ516" s="102"/>
      <c r="AK516" s="92"/>
      <c r="AL516" s="91"/>
      <c r="AM516" s="92"/>
      <c r="AN516" s="351"/>
      <c r="AO516" s="197">
        <f t="shared" si="31"/>
        <v>0</v>
      </c>
      <c r="AP516" s="91"/>
      <c r="AQ516" s="217"/>
      <c r="AR516" s="103"/>
      <c r="AS516" s="264"/>
      <c r="AT516" s="94"/>
      <c r="AU516" s="84"/>
      <c r="AV516" s="136"/>
      <c r="AW516" s="77"/>
      <c r="AX516" s="137"/>
      <c r="AY516" s="138"/>
      <c r="AZ516" s="220">
        <f t="shared" si="28"/>
        <v>0</v>
      </c>
      <c r="BA516" s="220">
        <f t="shared" si="29"/>
        <v>0</v>
      </c>
    </row>
    <row r="517" spans="1:53" ht="50.1" customHeight="1" x14ac:dyDescent="0.25">
      <c r="A517" s="17">
        <f t="shared" si="30"/>
        <v>503</v>
      </c>
      <c r="B517" s="228"/>
      <c r="C517" s="221"/>
      <c r="D517" s="88"/>
      <c r="E517" s="100"/>
      <c r="F517" s="95"/>
      <c r="G517" s="114"/>
      <c r="H517" s="96"/>
      <c r="I517" s="97"/>
      <c r="J517" s="98"/>
      <c r="K517" s="101"/>
      <c r="L517" s="124"/>
      <c r="M517" s="333"/>
      <c r="N517" s="341"/>
      <c r="O517" s="82"/>
      <c r="P517" s="93"/>
      <c r="Q517" s="82"/>
      <c r="R517" s="93"/>
      <c r="S517" s="298"/>
      <c r="T517" s="304"/>
      <c r="U517" s="307"/>
      <c r="V517" s="309"/>
      <c r="W517" s="248"/>
      <c r="X517" s="342"/>
      <c r="Y517" s="336"/>
      <c r="Z517" s="123"/>
      <c r="AA517" s="33"/>
      <c r="AB517" s="123"/>
      <c r="AC517" s="33"/>
      <c r="AD517" s="123"/>
      <c r="AE517" s="33"/>
      <c r="AF517" s="123"/>
      <c r="AG517" s="243"/>
      <c r="AH517" s="33"/>
      <c r="AI517" s="245"/>
      <c r="AJ517" s="125"/>
      <c r="AK517" s="91"/>
      <c r="AL517" s="126"/>
      <c r="AM517" s="91"/>
      <c r="AN517" s="91"/>
      <c r="AO517" s="197">
        <f t="shared" si="31"/>
        <v>0</v>
      </c>
      <c r="AP517" s="126"/>
      <c r="AQ517" s="216"/>
      <c r="AR517" s="127"/>
      <c r="AS517" s="269"/>
      <c r="AT517" s="94"/>
      <c r="AU517" s="84"/>
      <c r="AV517" s="80"/>
      <c r="AW517" s="81"/>
      <c r="AX517" s="77"/>
      <c r="AY517" s="107"/>
      <c r="AZ517" s="220">
        <f t="shared" si="28"/>
        <v>0</v>
      </c>
      <c r="BA517" s="220">
        <f t="shared" si="29"/>
        <v>0</v>
      </c>
    </row>
    <row r="518" spans="1:53" ht="50.1" customHeight="1" x14ac:dyDescent="0.25">
      <c r="A518" s="17">
        <f t="shared" si="30"/>
        <v>504</v>
      </c>
      <c r="B518" s="229"/>
      <c r="C518" s="222"/>
      <c r="D518" s="112"/>
      <c r="E518" s="128"/>
      <c r="F518" s="129"/>
      <c r="G518" s="130"/>
      <c r="H518" s="131"/>
      <c r="I518" s="132"/>
      <c r="J518" s="108"/>
      <c r="K518" s="133"/>
      <c r="L518" s="134"/>
      <c r="M518" s="334"/>
      <c r="N518" s="343"/>
      <c r="O518" s="135"/>
      <c r="P518" s="82"/>
      <c r="Q518" s="135"/>
      <c r="R518" s="82"/>
      <c r="S518" s="299"/>
      <c r="T518" s="305"/>
      <c r="U518" s="298"/>
      <c r="V518" s="304"/>
      <c r="W518" s="249"/>
      <c r="X518" s="344"/>
      <c r="Y518" s="337"/>
      <c r="Z518" s="33"/>
      <c r="AA518" s="83"/>
      <c r="AB518" s="33"/>
      <c r="AC518" s="83"/>
      <c r="AD518" s="33"/>
      <c r="AE518" s="83"/>
      <c r="AF518" s="33"/>
      <c r="AG518" s="244"/>
      <c r="AH518" s="83"/>
      <c r="AI518" s="246"/>
      <c r="AJ518" s="102"/>
      <c r="AK518" s="92"/>
      <c r="AL518" s="91"/>
      <c r="AM518" s="92"/>
      <c r="AN518" s="351"/>
      <c r="AO518" s="197">
        <f t="shared" si="31"/>
        <v>0</v>
      </c>
      <c r="AP518" s="91"/>
      <c r="AQ518" s="217"/>
      <c r="AR518" s="103"/>
      <c r="AS518" s="264"/>
      <c r="AT518" s="94"/>
      <c r="AU518" s="84"/>
      <c r="AV518" s="136"/>
      <c r="AW518" s="77"/>
      <c r="AX518" s="137"/>
      <c r="AY518" s="138"/>
      <c r="AZ518" s="220">
        <f t="shared" si="28"/>
        <v>0</v>
      </c>
      <c r="BA518" s="220">
        <f t="shared" si="29"/>
        <v>0</v>
      </c>
    </row>
    <row r="519" spans="1:53" ht="50.1" customHeight="1" x14ac:dyDescent="0.25">
      <c r="A519" s="17">
        <f t="shared" si="30"/>
        <v>505</v>
      </c>
      <c r="B519" s="228"/>
      <c r="C519" s="221"/>
      <c r="D519" s="88"/>
      <c r="E519" s="100"/>
      <c r="F519" s="95"/>
      <c r="G519" s="114"/>
      <c r="H519" s="96"/>
      <c r="I519" s="97"/>
      <c r="J519" s="98"/>
      <c r="K519" s="101"/>
      <c r="L519" s="124"/>
      <c r="M519" s="333"/>
      <c r="N519" s="341"/>
      <c r="O519" s="82"/>
      <c r="P519" s="93"/>
      <c r="Q519" s="82"/>
      <c r="R519" s="93"/>
      <c r="S519" s="298"/>
      <c r="T519" s="304"/>
      <c r="U519" s="307"/>
      <c r="V519" s="309"/>
      <c r="W519" s="248"/>
      <c r="X519" s="342"/>
      <c r="Y519" s="336"/>
      <c r="Z519" s="123"/>
      <c r="AA519" s="33"/>
      <c r="AB519" s="123"/>
      <c r="AC519" s="33"/>
      <c r="AD519" s="123"/>
      <c r="AE519" s="33"/>
      <c r="AF519" s="123"/>
      <c r="AG519" s="243"/>
      <c r="AH519" s="33"/>
      <c r="AI519" s="245"/>
      <c r="AJ519" s="125"/>
      <c r="AK519" s="91"/>
      <c r="AL519" s="126"/>
      <c r="AM519" s="91"/>
      <c r="AN519" s="91"/>
      <c r="AO519" s="197">
        <f t="shared" si="31"/>
        <v>0</v>
      </c>
      <c r="AP519" s="126"/>
      <c r="AQ519" s="216"/>
      <c r="AR519" s="127"/>
      <c r="AS519" s="269"/>
      <c r="AT519" s="94"/>
      <c r="AU519" s="84"/>
      <c r="AV519" s="80"/>
      <c r="AW519" s="81"/>
      <c r="AX519" s="77"/>
      <c r="AY519" s="107"/>
      <c r="AZ519" s="220">
        <f t="shared" si="28"/>
        <v>0</v>
      </c>
      <c r="BA519" s="220">
        <f t="shared" si="29"/>
        <v>0</v>
      </c>
    </row>
    <row r="520" spans="1:53" ht="50.1" customHeight="1" x14ac:dyDescent="0.25">
      <c r="A520" s="17">
        <f t="shared" si="30"/>
        <v>506</v>
      </c>
      <c r="B520" s="229"/>
      <c r="C520" s="222"/>
      <c r="D520" s="112"/>
      <c r="E520" s="128"/>
      <c r="F520" s="129"/>
      <c r="G520" s="130"/>
      <c r="H520" s="131"/>
      <c r="I520" s="132"/>
      <c r="J520" s="108"/>
      <c r="K520" s="133"/>
      <c r="L520" s="134"/>
      <c r="M520" s="334"/>
      <c r="N520" s="343"/>
      <c r="O520" s="135"/>
      <c r="P520" s="82"/>
      <c r="Q520" s="135"/>
      <c r="R520" s="82"/>
      <c r="S520" s="299"/>
      <c r="T520" s="305"/>
      <c r="U520" s="298"/>
      <c r="V520" s="304"/>
      <c r="W520" s="249"/>
      <c r="X520" s="344"/>
      <c r="Y520" s="337"/>
      <c r="Z520" s="33"/>
      <c r="AA520" s="83"/>
      <c r="AB520" s="33"/>
      <c r="AC520" s="83"/>
      <c r="AD520" s="33"/>
      <c r="AE520" s="83"/>
      <c r="AF520" s="33"/>
      <c r="AG520" s="244"/>
      <c r="AH520" s="83"/>
      <c r="AI520" s="246"/>
      <c r="AJ520" s="102"/>
      <c r="AK520" s="92"/>
      <c r="AL520" s="91"/>
      <c r="AM520" s="92"/>
      <c r="AN520" s="351"/>
      <c r="AO520" s="197">
        <f t="shared" si="31"/>
        <v>0</v>
      </c>
      <c r="AP520" s="91"/>
      <c r="AQ520" s="217"/>
      <c r="AR520" s="103"/>
      <c r="AS520" s="264"/>
      <c r="AT520" s="94"/>
      <c r="AU520" s="84"/>
      <c r="AV520" s="136"/>
      <c r="AW520" s="77"/>
      <c r="AX520" s="137"/>
      <c r="AY520" s="138"/>
      <c r="AZ520" s="220">
        <f t="shared" si="28"/>
        <v>0</v>
      </c>
      <c r="BA520" s="220">
        <f t="shared" si="29"/>
        <v>0</v>
      </c>
    </row>
    <row r="521" spans="1:53" ht="50.1" customHeight="1" x14ac:dyDescent="0.25">
      <c r="A521" s="17">
        <f t="shared" si="30"/>
        <v>507</v>
      </c>
      <c r="B521" s="228"/>
      <c r="C521" s="221"/>
      <c r="D521" s="88"/>
      <c r="E521" s="100"/>
      <c r="F521" s="95"/>
      <c r="G521" s="114"/>
      <c r="H521" s="96"/>
      <c r="I521" s="97"/>
      <c r="J521" s="98"/>
      <c r="K521" s="101"/>
      <c r="L521" s="124"/>
      <c r="M521" s="333"/>
      <c r="N521" s="341"/>
      <c r="O521" s="82"/>
      <c r="P521" s="93"/>
      <c r="Q521" s="82"/>
      <c r="R521" s="93"/>
      <c r="S521" s="298"/>
      <c r="T521" s="304"/>
      <c r="U521" s="307"/>
      <c r="V521" s="309"/>
      <c r="W521" s="248"/>
      <c r="X521" s="342"/>
      <c r="Y521" s="336"/>
      <c r="Z521" s="123"/>
      <c r="AA521" s="33"/>
      <c r="AB521" s="123"/>
      <c r="AC521" s="33"/>
      <c r="AD521" s="123"/>
      <c r="AE521" s="33"/>
      <c r="AF521" s="123"/>
      <c r="AG521" s="243"/>
      <c r="AH521" s="33"/>
      <c r="AI521" s="245"/>
      <c r="AJ521" s="125"/>
      <c r="AK521" s="91"/>
      <c r="AL521" s="126"/>
      <c r="AM521" s="91"/>
      <c r="AN521" s="91"/>
      <c r="AO521" s="197">
        <f t="shared" si="31"/>
        <v>0</v>
      </c>
      <c r="AP521" s="126"/>
      <c r="AQ521" s="216"/>
      <c r="AR521" s="127"/>
      <c r="AS521" s="269"/>
      <c r="AT521" s="94"/>
      <c r="AU521" s="84"/>
      <c r="AV521" s="80"/>
      <c r="AW521" s="81"/>
      <c r="AX521" s="77"/>
      <c r="AY521" s="107"/>
      <c r="AZ521" s="220">
        <f t="shared" si="28"/>
        <v>0</v>
      </c>
      <c r="BA521" s="220">
        <f t="shared" si="29"/>
        <v>0</v>
      </c>
    </row>
    <row r="522" spans="1:53" ht="50.1" customHeight="1" x14ac:dyDescent="0.25">
      <c r="A522" s="17">
        <f t="shared" si="30"/>
        <v>508</v>
      </c>
      <c r="B522" s="229"/>
      <c r="C522" s="222"/>
      <c r="D522" s="112"/>
      <c r="E522" s="128"/>
      <c r="F522" s="129"/>
      <c r="G522" s="130"/>
      <c r="H522" s="131"/>
      <c r="I522" s="132"/>
      <c r="J522" s="108"/>
      <c r="K522" s="133"/>
      <c r="L522" s="134"/>
      <c r="M522" s="334"/>
      <c r="N522" s="343"/>
      <c r="O522" s="135"/>
      <c r="P522" s="82"/>
      <c r="Q522" s="135"/>
      <c r="R522" s="82"/>
      <c r="S522" s="299"/>
      <c r="T522" s="305"/>
      <c r="U522" s="298"/>
      <c r="V522" s="304"/>
      <c r="W522" s="249"/>
      <c r="X522" s="344"/>
      <c r="Y522" s="337"/>
      <c r="Z522" s="33"/>
      <c r="AA522" s="83"/>
      <c r="AB522" s="33"/>
      <c r="AC522" s="83"/>
      <c r="AD522" s="33"/>
      <c r="AE522" s="83"/>
      <c r="AF522" s="33"/>
      <c r="AG522" s="244"/>
      <c r="AH522" s="83"/>
      <c r="AI522" s="246"/>
      <c r="AJ522" s="102"/>
      <c r="AK522" s="92"/>
      <c r="AL522" s="91"/>
      <c r="AM522" s="92"/>
      <c r="AN522" s="351"/>
      <c r="AO522" s="197">
        <f t="shared" si="31"/>
        <v>0</v>
      </c>
      <c r="AP522" s="91"/>
      <c r="AQ522" s="217"/>
      <c r="AR522" s="103"/>
      <c r="AS522" s="264"/>
      <c r="AT522" s="94"/>
      <c r="AU522" s="84"/>
      <c r="AV522" s="136"/>
      <c r="AW522" s="77"/>
      <c r="AX522" s="137"/>
      <c r="AY522" s="138"/>
      <c r="AZ522" s="220">
        <f t="shared" si="28"/>
        <v>0</v>
      </c>
      <c r="BA522" s="220">
        <f t="shared" si="29"/>
        <v>0</v>
      </c>
    </row>
    <row r="523" spans="1:53" ht="50.1" customHeight="1" x14ac:dyDescent="0.25">
      <c r="A523" s="17">
        <f t="shared" si="30"/>
        <v>509</v>
      </c>
      <c r="B523" s="228"/>
      <c r="C523" s="221"/>
      <c r="D523" s="88"/>
      <c r="E523" s="100"/>
      <c r="F523" s="95"/>
      <c r="G523" s="114"/>
      <c r="H523" s="96"/>
      <c r="I523" s="97"/>
      <c r="J523" s="98"/>
      <c r="K523" s="101"/>
      <c r="L523" s="124"/>
      <c r="M523" s="333"/>
      <c r="N523" s="341"/>
      <c r="O523" s="82"/>
      <c r="P523" s="93"/>
      <c r="Q523" s="82"/>
      <c r="R523" s="93"/>
      <c r="S523" s="298"/>
      <c r="T523" s="304"/>
      <c r="U523" s="307"/>
      <c r="V523" s="309"/>
      <c r="W523" s="248"/>
      <c r="X523" s="342"/>
      <c r="Y523" s="336"/>
      <c r="Z523" s="123"/>
      <c r="AA523" s="33"/>
      <c r="AB523" s="123"/>
      <c r="AC523" s="33"/>
      <c r="AD523" s="123"/>
      <c r="AE523" s="33"/>
      <c r="AF523" s="123"/>
      <c r="AG523" s="243"/>
      <c r="AH523" s="33"/>
      <c r="AI523" s="245"/>
      <c r="AJ523" s="125"/>
      <c r="AK523" s="91"/>
      <c r="AL523" s="126"/>
      <c r="AM523" s="91"/>
      <c r="AN523" s="91"/>
      <c r="AO523" s="197">
        <f t="shared" si="31"/>
        <v>0</v>
      </c>
      <c r="AP523" s="126"/>
      <c r="AQ523" s="216"/>
      <c r="AR523" s="127"/>
      <c r="AS523" s="269"/>
      <c r="AT523" s="94"/>
      <c r="AU523" s="84"/>
      <c r="AV523" s="80"/>
      <c r="AW523" s="81"/>
      <c r="AX523" s="77"/>
      <c r="AY523" s="107"/>
      <c r="AZ523" s="220">
        <f t="shared" si="28"/>
        <v>0</v>
      </c>
      <c r="BA523" s="220">
        <f t="shared" si="29"/>
        <v>0</v>
      </c>
    </row>
    <row r="524" spans="1:53" ht="50.1" customHeight="1" x14ac:dyDescent="0.25">
      <c r="A524" s="17">
        <f t="shared" si="30"/>
        <v>510</v>
      </c>
      <c r="B524" s="229"/>
      <c r="C524" s="222"/>
      <c r="D524" s="112"/>
      <c r="E524" s="128"/>
      <c r="F524" s="129"/>
      <c r="G524" s="130"/>
      <c r="H524" s="131"/>
      <c r="I524" s="132"/>
      <c r="J524" s="108"/>
      <c r="K524" s="133"/>
      <c r="L524" s="134"/>
      <c r="M524" s="334"/>
      <c r="N524" s="343"/>
      <c r="O524" s="135"/>
      <c r="P524" s="82"/>
      <c r="Q524" s="135"/>
      <c r="R524" s="82"/>
      <c r="S524" s="299"/>
      <c r="T524" s="305"/>
      <c r="U524" s="298"/>
      <c r="V524" s="304"/>
      <c r="W524" s="249"/>
      <c r="X524" s="344"/>
      <c r="Y524" s="337"/>
      <c r="Z524" s="33"/>
      <c r="AA524" s="83"/>
      <c r="AB524" s="33"/>
      <c r="AC524" s="83"/>
      <c r="AD524" s="33"/>
      <c r="AE524" s="83"/>
      <c r="AF524" s="33"/>
      <c r="AG524" s="244"/>
      <c r="AH524" s="83"/>
      <c r="AI524" s="246"/>
      <c r="AJ524" s="102"/>
      <c r="AK524" s="92"/>
      <c r="AL524" s="91"/>
      <c r="AM524" s="92"/>
      <c r="AN524" s="351"/>
      <c r="AO524" s="197">
        <f t="shared" si="31"/>
        <v>0</v>
      </c>
      <c r="AP524" s="91"/>
      <c r="AQ524" s="217"/>
      <c r="AR524" s="103"/>
      <c r="AS524" s="264"/>
      <c r="AT524" s="94"/>
      <c r="AU524" s="84"/>
      <c r="AV524" s="136"/>
      <c r="AW524" s="77"/>
      <c r="AX524" s="137"/>
      <c r="AY524" s="138"/>
      <c r="AZ524" s="220">
        <f t="shared" si="28"/>
        <v>0</v>
      </c>
      <c r="BA524" s="220">
        <f t="shared" si="29"/>
        <v>0</v>
      </c>
    </row>
    <row r="525" spans="1:53" ht="50.1" customHeight="1" x14ac:dyDescent="0.25">
      <c r="A525" s="17">
        <f t="shared" si="30"/>
        <v>511</v>
      </c>
      <c r="B525" s="228"/>
      <c r="C525" s="221"/>
      <c r="D525" s="88"/>
      <c r="E525" s="100"/>
      <c r="F525" s="95"/>
      <c r="G525" s="114"/>
      <c r="H525" s="96"/>
      <c r="I525" s="97"/>
      <c r="J525" s="98"/>
      <c r="K525" s="101"/>
      <c r="L525" s="124"/>
      <c r="M525" s="333"/>
      <c r="N525" s="341"/>
      <c r="O525" s="82"/>
      <c r="P525" s="93"/>
      <c r="Q525" s="82"/>
      <c r="R525" s="93"/>
      <c r="S525" s="298"/>
      <c r="T525" s="304"/>
      <c r="U525" s="307"/>
      <c r="V525" s="309"/>
      <c r="W525" s="248"/>
      <c r="X525" s="342"/>
      <c r="Y525" s="336"/>
      <c r="Z525" s="123"/>
      <c r="AA525" s="33"/>
      <c r="AB525" s="123"/>
      <c r="AC525" s="33"/>
      <c r="AD525" s="123"/>
      <c r="AE525" s="33"/>
      <c r="AF525" s="123"/>
      <c r="AG525" s="243"/>
      <c r="AH525" s="33"/>
      <c r="AI525" s="245"/>
      <c r="AJ525" s="125"/>
      <c r="AK525" s="91"/>
      <c r="AL525" s="126"/>
      <c r="AM525" s="91"/>
      <c r="AN525" s="91"/>
      <c r="AO525" s="197">
        <f t="shared" si="31"/>
        <v>0</v>
      </c>
      <c r="AP525" s="126"/>
      <c r="AQ525" s="216"/>
      <c r="AR525" s="127"/>
      <c r="AS525" s="269"/>
      <c r="AT525" s="94"/>
      <c r="AU525" s="84"/>
      <c r="AV525" s="80"/>
      <c r="AW525" s="81"/>
      <c r="AX525" s="77"/>
      <c r="AY525" s="107"/>
      <c r="AZ525" s="220">
        <f t="shared" si="28"/>
        <v>0</v>
      </c>
      <c r="BA525" s="220">
        <f t="shared" si="29"/>
        <v>0</v>
      </c>
    </row>
    <row r="526" spans="1:53" ht="50.1" customHeight="1" x14ac:dyDescent="0.25">
      <c r="A526" s="17">
        <f t="shared" si="30"/>
        <v>512</v>
      </c>
      <c r="B526" s="229"/>
      <c r="C526" s="222"/>
      <c r="D526" s="112"/>
      <c r="E526" s="128"/>
      <c r="F526" s="129"/>
      <c r="G526" s="130"/>
      <c r="H526" s="131"/>
      <c r="I526" s="132"/>
      <c r="J526" s="108"/>
      <c r="K526" s="133"/>
      <c r="L526" s="134"/>
      <c r="M526" s="334"/>
      <c r="N526" s="343"/>
      <c r="O526" s="135"/>
      <c r="P526" s="82"/>
      <c r="Q526" s="135"/>
      <c r="R526" s="82"/>
      <c r="S526" s="299"/>
      <c r="T526" s="305"/>
      <c r="U526" s="298"/>
      <c r="V526" s="304"/>
      <c r="W526" s="249"/>
      <c r="X526" s="344"/>
      <c r="Y526" s="337"/>
      <c r="Z526" s="33"/>
      <c r="AA526" s="83"/>
      <c r="AB526" s="33"/>
      <c r="AC526" s="83"/>
      <c r="AD526" s="33"/>
      <c r="AE526" s="83"/>
      <c r="AF526" s="33"/>
      <c r="AG526" s="244"/>
      <c r="AH526" s="83"/>
      <c r="AI526" s="246"/>
      <c r="AJ526" s="102"/>
      <c r="AK526" s="92"/>
      <c r="AL526" s="91"/>
      <c r="AM526" s="92"/>
      <c r="AN526" s="351"/>
      <c r="AO526" s="197">
        <f t="shared" si="31"/>
        <v>0</v>
      </c>
      <c r="AP526" s="91"/>
      <c r="AQ526" s="217"/>
      <c r="AR526" s="103"/>
      <c r="AS526" s="264"/>
      <c r="AT526" s="94"/>
      <c r="AU526" s="84"/>
      <c r="AV526" s="136"/>
      <c r="AW526" s="77"/>
      <c r="AX526" s="137"/>
      <c r="AY526" s="138"/>
      <c r="AZ526" s="220">
        <f t="shared" si="28"/>
        <v>0</v>
      </c>
      <c r="BA526" s="220">
        <f t="shared" si="29"/>
        <v>0</v>
      </c>
    </row>
    <row r="527" spans="1:53" ht="50.1" customHeight="1" x14ac:dyDescent="0.25">
      <c r="A527" s="17">
        <f t="shared" si="30"/>
        <v>513</v>
      </c>
      <c r="B527" s="228"/>
      <c r="C527" s="221"/>
      <c r="D527" s="88"/>
      <c r="E527" s="100"/>
      <c r="F527" s="95"/>
      <c r="G527" s="114"/>
      <c r="H527" s="96"/>
      <c r="I527" s="97"/>
      <c r="J527" s="98"/>
      <c r="K527" s="101"/>
      <c r="L527" s="124"/>
      <c r="M527" s="333"/>
      <c r="N527" s="341"/>
      <c r="O527" s="82"/>
      <c r="P527" s="93"/>
      <c r="Q527" s="82"/>
      <c r="R527" s="93"/>
      <c r="S527" s="298"/>
      <c r="T527" s="304"/>
      <c r="U527" s="307"/>
      <c r="V527" s="309"/>
      <c r="W527" s="248"/>
      <c r="X527" s="342"/>
      <c r="Y527" s="336"/>
      <c r="Z527" s="123"/>
      <c r="AA527" s="33"/>
      <c r="AB527" s="123"/>
      <c r="AC527" s="33"/>
      <c r="AD527" s="123"/>
      <c r="AE527" s="33"/>
      <c r="AF527" s="123"/>
      <c r="AG527" s="243"/>
      <c r="AH527" s="33"/>
      <c r="AI527" s="245"/>
      <c r="AJ527" s="125"/>
      <c r="AK527" s="91"/>
      <c r="AL527" s="126"/>
      <c r="AM527" s="91"/>
      <c r="AN527" s="91"/>
      <c r="AO527" s="197">
        <f t="shared" si="31"/>
        <v>0</v>
      </c>
      <c r="AP527" s="126"/>
      <c r="AQ527" s="216"/>
      <c r="AR527" s="127"/>
      <c r="AS527" s="269"/>
      <c r="AT527" s="94"/>
      <c r="AU527" s="84"/>
      <c r="AV527" s="80"/>
      <c r="AW527" s="81"/>
      <c r="AX527" s="77"/>
      <c r="AY527" s="107"/>
      <c r="AZ527" s="220">
        <f t="shared" ref="AZ527:AZ590" si="32">M527-B527</f>
        <v>0</v>
      </c>
      <c r="BA527" s="220">
        <f t="shared" ref="BA527:BA590" si="33">AU527-M527</f>
        <v>0</v>
      </c>
    </row>
    <row r="528" spans="1:53" ht="50.1" customHeight="1" x14ac:dyDescent="0.25">
      <c r="A528" s="17">
        <f t="shared" ref="A528:A591" si="34">ROW(A514)</f>
        <v>514</v>
      </c>
      <c r="B528" s="229"/>
      <c r="C528" s="222"/>
      <c r="D528" s="112"/>
      <c r="E528" s="128"/>
      <c r="F528" s="129"/>
      <c r="G528" s="130"/>
      <c r="H528" s="131"/>
      <c r="I528" s="132"/>
      <c r="J528" s="108"/>
      <c r="K528" s="133"/>
      <c r="L528" s="134"/>
      <c r="M528" s="334"/>
      <c r="N528" s="343"/>
      <c r="O528" s="135"/>
      <c r="P528" s="82"/>
      <c r="Q528" s="135"/>
      <c r="R528" s="82"/>
      <c r="S528" s="299"/>
      <c r="T528" s="305"/>
      <c r="U528" s="298"/>
      <c r="V528" s="304"/>
      <c r="W528" s="249"/>
      <c r="X528" s="344"/>
      <c r="Y528" s="337"/>
      <c r="Z528" s="33"/>
      <c r="AA528" s="83"/>
      <c r="AB528" s="33"/>
      <c r="AC528" s="83"/>
      <c r="AD528" s="33"/>
      <c r="AE528" s="83"/>
      <c r="AF528" s="33"/>
      <c r="AG528" s="244"/>
      <c r="AH528" s="83"/>
      <c r="AI528" s="246"/>
      <c r="AJ528" s="102"/>
      <c r="AK528" s="92"/>
      <c r="AL528" s="91"/>
      <c r="AM528" s="92"/>
      <c r="AN528" s="351"/>
      <c r="AO528" s="197">
        <f t="shared" ref="AO528:AO591" si="35">AJ528-AK528-AL528-AM528-AN528</f>
        <v>0</v>
      </c>
      <c r="AP528" s="91"/>
      <c r="AQ528" s="217"/>
      <c r="AR528" s="103"/>
      <c r="AS528" s="264"/>
      <c r="AT528" s="94"/>
      <c r="AU528" s="84"/>
      <c r="AV528" s="136"/>
      <c r="AW528" s="77"/>
      <c r="AX528" s="137"/>
      <c r="AY528" s="138"/>
      <c r="AZ528" s="220">
        <f t="shared" si="32"/>
        <v>0</v>
      </c>
      <c r="BA528" s="220">
        <f t="shared" si="33"/>
        <v>0</v>
      </c>
    </row>
    <row r="529" spans="1:53" ht="50.1" customHeight="1" x14ac:dyDescent="0.25">
      <c r="A529" s="17">
        <f t="shared" si="34"/>
        <v>515</v>
      </c>
      <c r="B529" s="228"/>
      <c r="C529" s="221"/>
      <c r="D529" s="88"/>
      <c r="E529" s="100"/>
      <c r="F529" s="95"/>
      <c r="G529" s="114"/>
      <c r="H529" s="96"/>
      <c r="I529" s="97"/>
      <c r="J529" s="98"/>
      <c r="K529" s="101"/>
      <c r="L529" s="124"/>
      <c r="M529" s="333"/>
      <c r="N529" s="341"/>
      <c r="O529" s="82"/>
      <c r="P529" s="93"/>
      <c r="Q529" s="82"/>
      <c r="R529" s="93"/>
      <c r="S529" s="298"/>
      <c r="T529" s="304"/>
      <c r="U529" s="307"/>
      <c r="V529" s="309"/>
      <c r="W529" s="248"/>
      <c r="X529" s="342"/>
      <c r="Y529" s="336"/>
      <c r="Z529" s="123"/>
      <c r="AA529" s="33"/>
      <c r="AB529" s="123"/>
      <c r="AC529" s="33"/>
      <c r="AD529" s="123"/>
      <c r="AE529" s="33"/>
      <c r="AF529" s="123"/>
      <c r="AG529" s="243"/>
      <c r="AH529" s="33"/>
      <c r="AI529" s="245"/>
      <c r="AJ529" s="125"/>
      <c r="AK529" s="91"/>
      <c r="AL529" s="126"/>
      <c r="AM529" s="91"/>
      <c r="AN529" s="91"/>
      <c r="AO529" s="197">
        <f t="shared" si="35"/>
        <v>0</v>
      </c>
      <c r="AP529" s="126"/>
      <c r="AQ529" s="216"/>
      <c r="AR529" s="127"/>
      <c r="AS529" s="269"/>
      <c r="AT529" s="94"/>
      <c r="AU529" s="84"/>
      <c r="AV529" s="80"/>
      <c r="AW529" s="81"/>
      <c r="AX529" s="77"/>
      <c r="AY529" s="107"/>
      <c r="AZ529" s="220">
        <f t="shared" si="32"/>
        <v>0</v>
      </c>
      <c r="BA529" s="220">
        <f t="shared" si="33"/>
        <v>0</v>
      </c>
    </row>
    <row r="530" spans="1:53" ht="50.1" customHeight="1" x14ac:dyDescent="0.25">
      <c r="A530" s="17">
        <f t="shared" si="34"/>
        <v>516</v>
      </c>
      <c r="B530" s="229"/>
      <c r="C530" s="222"/>
      <c r="D530" s="112"/>
      <c r="E530" s="128"/>
      <c r="F530" s="129"/>
      <c r="G530" s="130"/>
      <c r="H530" s="131"/>
      <c r="I530" s="132"/>
      <c r="J530" s="108"/>
      <c r="K530" s="133"/>
      <c r="L530" s="134"/>
      <c r="M530" s="334"/>
      <c r="N530" s="343"/>
      <c r="O530" s="135"/>
      <c r="P530" s="82"/>
      <c r="Q530" s="135"/>
      <c r="R530" s="82"/>
      <c r="S530" s="299"/>
      <c r="T530" s="305"/>
      <c r="U530" s="298"/>
      <c r="V530" s="304"/>
      <c r="W530" s="249"/>
      <c r="X530" s="344"/>
      <c r="Y530" s="337"/>
      <c r="Z530" s="33"/>
      <c r="AA530" s="83"/>
      <c r="AB530" s="33"/>
      <c r="AC530" s="83"/>
      <c r="AD530" s="33"/>
      <c r="AE530" s="83"/>
      <c r="AF530" s="33"/>
      <c r="AG530" s="244"/>
      <c r="AH530" s="83"/>
      <c r="AI530" s="246"/>
      <c r="AJ530" s="102"/>
      <c r="AK530" s="92"/>
      <c r="AL530" s="91"/>
      <c r="AM530" s="92"/>
      <c r="AN530" s="351"/>
      <c r="AO530" s="197">
        <f t="shared" si="35"/>
        <v>0</v>
      </c>
      <c r="AP530" s="91"/>
      <c r="AQ530" s="217"/>
      <c r="AR530" s="103"/>
      <c r="AS530" s="264"/>
      <c r="AT530" s="94"/>
      <c r="AU530" s="84"/>
      <c r="AV530" s="136"/>
      <c r="AW530" s="77"/>
      <c r="AX530" s="137"/>
      <c r="AY530" s="138"/>
      <c r="AZ530" s="220">
        <f t="shared" si="32"/>
        <v>0</v>
      </c>
      <c r="BA530" s="220">
        <f t="shared" si="33"/>
        <v>0</v>
      </c>
    </row>
    <row r="531" spans="1:53" ht="50.1" customHeight="1" x14ac:dyDescent="0.25">
      <c r="A531" s="17">
        <f t="shared" si="34"/>
        <v>517</v>
      </c>
      <c r="B531" s="228"/>
      <c r="C531" s="221"/>
      <c r="D531" s="88"/>
      <c r="E531" s="100"/>
      <c r="F531" s="95"/>
      <c r="G531" s="114"/>
      <c r="H531" s="96"/>
      <c r="I531" s="97"/>
      <c r="J531" s="98"/>
      <c r="K531" s="101"/>
      <c r="L531" s="124"/>
      <c r="M531" s="333"/>
      <c r="N531" s="341"/>
      <c r="O531" s="82"/>
      <c r="P531" s="93"/>
      <c r="Q531" s="82"/>
      <c r="R531" s="93"/>
      <c r="S531" s="298"/>
      <c r="T531" s="304"/>
      <c r="U531" s="307"/>
      <c r="V531" s="309"/>
      <c r="W531" s="248"/>
      <c r="X531" s="342"/>
      <c r="Y531" s="336"/>
      <c r="Z531" s="123"/>
      <c r="AA531" s="33"/>
      <c r="AB531" s="123"/>
      <c r="AC531" s="33"/>
      <c r="AD531" s="123"/>
      <c r="AE531" s="33"/>
      <c r="AF531" s="123"/>
      <c r="AG531" s="243"/>
      <c r="AH531" s="33"/>
      <c r="AI531" s="245"/>
      <c r="AJ531" s="125"/>
      <c r="AK531" s="91"/>
      <c r="AL531" s="126"/>
      <c r="AM531" s="91"/>
      <c r="AN531" s="91"/>
      <c r="AO531" s="197">
        <f t="shared" si="35"/>
        <v>0</v>
      </c>
      <c r="AP531" s="126"/>
      <c r="AQ531" s="216"/>
      <c r="AR531" s="127"/>
      <c r="AS531" s="269"/>
      <c r="AT531" s="94"/>
      <c r="AU531" s="84"/>
      <c r="AV531" s="80"/>
      <c r="AW531" s="81"/>
      <c r="AX531" s="77"/>
      <c r="AY531" s="107"/>
      <c r="AZ531" s="220">
        <f t="shared" si="32"/>
        <v>0</v>
      </c>
      <c r="BA531" s="220">
        <f t="shared" si="33"/>
        <v>0</v>
      </c>
    </row>
    <row r="532" spans="1:53" ht="50.1" customHeight="1" x14ac:dyDescent="0.25">
      <c r="A532" s="17">
        <f t="shared" si="34"/>
        <v>518</v>
      </c>
      <c r="B532" s="229"/>
      <c r="C532" s="222"/>
      <c r="D532" s="112"/>
      <c r="E532" s="128"/>
      <c r="F532" s="129"/>
      <c r="G532" s="130"/>
      <c r="H532" s="131"/>
      <c r="I532" s="132"/>
      <c r="J532" s="108"/>
      <c r="K532" s="133"/>
      <c r="L532" s="134"/>
      <c r="M532" s="334"/>
      <c r="N532" s="343"/>
      <c r="O532" s="135"/>
      <c r="P532" s="82"/>
      <c r="Q532" s="135"/>
      <c r="R532" s="82"/>
      <c r="S532" s="299"/>
      <c r="T532" s="305"/>
      <c r="U532" s="298"/>
      <c r="V532" s="304"/>
      <c r="W532" s="249"/>
      <c r="X532" s="344"/>
      <c r="Y532" s="337"/>
      <c r="Z532" s="33"/>
      <c r="AA532" s="83"/>
      <c r="AB532" s="33"/>
      <c r="AC532" s="83"/>
      <c r="AD532" s="33"/>
      <c r="AE532" s="83"/>
      <c r="AF532" s="33"/>
      <c r="AG532" s="244"/>
      <c r="AH532" s="83"/>
      <c r="AI532" s="246"/>
      <c r="AJ532" s="102"/>
      <c r="AK532" s="92"/>
      <c r="AL532" s="91"/>
      <c r="AM532" s="92"/>
      <c r="AN532" s="351"/>
      <c r="AO532" s="197">
        <f t="shared" si="35"/>
        <v>0</v>
      </c>
      <c r="AP532" s="91"/>
      <c r="AQ532" s="217"/>
      <c r="AR532" s="103"/>
      <c r="AS532" s="264"/>
      <c r="AT532" s="94"/>
      <c r="AU532" s="84"/>
      <c r="AV532" s="136"/>
      <c r="AW532" s="77"/>
      <c r="AX532" s="137"/>
      <c r="AY532" s="138"/>
      <c r="AZ532" s="220">
        <f t="shared" si="32"/>
        <v>0</v>
      </c>
      <c r="BA532" s="220">
        <f t="shared" si="33"/>
        <v>0</v>
      </c>
    </row>
    <row r="533" spans="1:53" ht="50.1" customHeight="1" x14ac:dyDescent="0.25">
      <c r="A533" s="17">
        <f t="shared" si="34"/>
        <v>519</v>
      </c>
      <c r="B533" s="228"/>
      <c r="C533" s="221"/>
      <c r="D533" s="88"/>
      <c r="E533" s="100"/>
      <c r="F533" s="95"/>
      <c r="G533" s="114"/>
      <c r="H533" s="96"/>
      <c r="I533" s="97"/>
      <c r="J533" s="98"/>
      <c r="K533" s="101"/>
      <c r="L533" s="124"/>
      <c r="M533" s="333"/>
      <c r="N533" s="341"/>
      <c r="O533" s="82"/>
      <c r="P533" s="93"/>
      <c r="Q533" s="82"/>
      <c r="R533" s="93"/>
      <c r="S533" s="298"/>
      <c r="T533" s="304"/>
      <c r="U533" s="307"/>
      <c r="V533" s="309"/>
      <c r="W533" s="248"/>
      <c r="X533" s="342"/>
      <c r="Y533" s="336"/>
      <c r="Z533" s="123"/>
      <c r="AA533" s="33"/>
      <c r="AB533" s="123"/>
      <c r="AC533" s="33"/>
      <c r="AD533" s="123"/>
      <c r="AE533" s="33"/>
      <c r="AF533" s="123"/>
      <c r="AG533" s="243"/>
      <c r="AH533" s="33"/>
      <c r="AI533" s="245"/>
      <c r="AJ533" s="125"/>
      <c r="AK533" s="91"/>
      <c r="AL533" s="126"/>
      <c r="AM533" s="91"/>
      <c r="AN533" s="91"/>
      <c r="AO533" s="197">
        <f t="shared" si="35"/>
        <v>0</v>
      </c>
      <c r="AP533" s="126"/>
      <c r="AQ533" s="216"/>
      <c r="AR533" s="127"/>
      <c r="AS533" s="269"/>
      <c r="AT533" s="94"/>
      <c r="AU533" s="84"/>
      <c r="AV533" s="80"/>
      <c r="AW533" s="81"/>
      <c r="AX533" s="77"/>
      <c r="AY533" s="107"/>
      <c r="AZ533" s="220">
        <f t="shared" si="32"/>
        <v>0</v>
      </c>
      <c r="BA533" s="220">
        <f t="shared" si="33"/>
        <v>0</v>
      </c>
    </row>
    <row r="534" spans="1:53" ht="50.1" customHeight="1" x14ac:dyDescent="0.25">
      <c r="A534" s="17">
        <f t="shared" si="34"/>
        <v>520</v>
      </c>
      <c r="B534" s="229"/>
      <c r="C534" s="222"/>
      <c r="D534" s="112"/>
      <c r="E534" s="128"/>
      <c r="F534" s="129"/>
      <c r="G534" s="130"/>
      <c r="H534" s="131"/>
      <c r="I534" s="132"/>
      <c r="J534" s="108"/>
      <c r="K534" s="133"/>
      <c r="L534" s="134"/>
      <c r="M534" s="334"/>
      <c r="N534" s="343"/>
      <c r="O534" s="135"/>
      <c r="P534" s="82"/>
      <c r="Q534" s="135"/>
      <c r="R534" s="82"/>
      <c r="S534" s="299"/>
      <c r="T534" s="305"/>
      <c r="U534" s="298"/>
      <c r="V534" s="304"/>
      <c r="W534" s="249"/>
      <c r="X534" s="344"/>
      <c r="Y534" s="337"/>
      <c r="Z534" s="33"/>
      <c r="AA534" s="83"/>
      <c r="AB534" s="33"/>
      <c r="AC534" s="83"/>
      <c r="AD534" s="33"/>
      <c r="AE534" s="83"/>
      <c r="AF534" s="33"/>
      <c r="AG534" s="244"/>
      <c r="AH534" s="83"/>
      <c r="AI534" s="246"/>
      <c r="AJ534" s="102"/>
      <c r="AK534" s="92"/>
      <c r="AL534" s="91"/>
      <c r="AM534" s="92"/>
      <c r="AN534" s="351"/>
      <c r="AO534" s="197">
        <f t="shared" si="35"/>
        <v>0</v>
      </c>
      <c r="AP534" s="91"/>
      <c r="AQ534" s="217"/>
      <c r="AR534" s="103"/>
      <c r="AS534" s="264"/>
      <c r="AT534" s="94"/>
      <c r="AU534" s="84"/>
      <c r="AV534" s="136"/>
      <c r="AW534" s="77"/>
      <c r="AX534" s="137"/>
      <c r="AY534" s="138"/>
      <c r="AZ534" s="220">
        <f t="shared" si="32"/>
        <v>0</v>
      </c>
      <c r="BA534" s="220">
        <f t="shared" si="33"/>
        <v>0</v>
      </c>
    </row>
    <row r="535" spans="1:53" ht="50.1" customHeight="1" x14ac:dyDescent="0.25">
      <c r="A535" s="17">
        <f t="shared" si="34"/>
        <v>521</v>
      </c>
      <c r="B535" s="228"/>
      <c r="C535" s="221"/>
      <c r="D535" s="88"/>
      <c r="E535" s="100"/>
      <c r="F535" s="95"/>
      <c r="G535" s="114"/>
      <c r="H535" s="96"/>
      <c r="I535" s="97"/>
      <c r="J535" s="98"/>
      <c r="K535" s="101"/>
      <c r="L535" s="124"/>
      <c r="M535" s="333"/>
      <c r="N535" s="341"/>
      <c r="O535" s="82"/>
      <c r="P535" s="93"/>
      <c r="Q535" s="82"/>
      <c r="R535" s="93"/>
      <c r="S535" s="298"/>
      <c r="T535" s="304"/>
      <c r="U535" s="307"/>
      <c r="V535" s="309"/>
      <c r="W535" s="248"/>
      <c r="X535" s="342"/>
      <c r="Y535" s="336"/>
      <c r="Z535" s="123"/>
      <c r="AA535" s="33"/>
      <c r="AB535" s="123"/>
      <c r="AC535" s="33"/>
      <c r="AD535" s="123"/>
      <c r="AE535" s="33"/>
      <c r="AF535" s="123"/>
      <c r="AG535" s="243"/>
      <c r="AH535" s="33"/>
      <c r="AI535" s="245"/>
      <c r="AJ535" s="125"/>
      <c r="AK535" s="91"/>
      <c r="AL535" s="126"/>
      <c r="AM535" s="91"/>
      <c r="AN535" s="91"/>
      <c r="AO535" s="197">
        <f t="shared" si="35"/>
        <v>0</v>
      </c>
      <c r="AP535" s="126"/>
      <c r="AQ535" s="216"/>
      <c r="AR535" s="127"/>
      <c r="AS535" s="269"/>
      <c r="AT535" s="94"/>
      <c r="AU535" s="84"/>
      <c r="AV535" s="80"/>
      <c r="AW535" s="81"/>
      <c r="AX535" s="77"/>
      <c r="AY535" s="107"/>
      <c r="AZ535" s="220">
        <f t="shared" si="32"/>
        <v>0</v>
      </c>
      <c r="BA535" s="220">
        <f t="shared" si="33"/>
        <v>0</v>
      </c>
    </row>
    <row r="536" spans="1:53" ht="50.1" customHeight="1" x14ac:dyDescent="0.25">
      <c r="A536" s="17">
        <f t="shared" si="34"/>
        <v>522</v>
      </c>
      <c r="B536" s="229"/>
      <c r="C536" s="222"/>
      <c r="D536" s="112"/>
      <c r="E536" s="128"/>
      <c r="F536" s="129"/>
      <c r="G536" s="130"/>
      <c r="H536" s="131"/>
      <c r="I536" s="132"/>
      <c r="J536" s="108"/>
      <c r="K536" s="133"/>
      <c r="L536" s="134"/>
      <c r="M536" s="334"/>
      <c r="N536" s="343"/>
      <c r="O536" s="135"/>
      <c r="P536" s="82"/>
      <c r="Q536" s="135"/>
      <c r="R536" s="82"/>
      <c r="S536" s="299"/>
      <c r="T536" s="305"/>
      <c r="U536" s="298"/>
      <c r="V536" s="304"/>
      <c r="W536" s="249"/>
      <c r="X536" s="344"/>
      <c r="Y536" s="337"/>
      <c r="Z536" s="33"/>
      <c r="AA536" s="83"/>
      <c r="AB536" s="33"/>
      <c r="AC536" s="83"/>
      <c r="AD536" s="33"/>
      <c r="AE536" s="83"/>
      <c r="AF536" s="33"/>
      <c r="AG536" s="244"/>
      <c r="AH536" s="83"/>
      <c r="AI536" s="246"/>
      <c r="AJ536" s="102"/>
      <c r="AK536" s="92"/>
      <c r="AL536" s="91"/>
      <c r="AM536" s="92"/>
      <c r="AN536" s="351"/>
      <c r="AO536" s="197">
        <f t="shared" si="35"/>
        <v>0</v>
      </c>
      <c r="AP536" s="91"/>
      <c r="AQ536" s="217"/>
      <c r="AR536" s="103"/>
      <c r="AS536" s="264"/>
      <c r="AT536" s="94"/>
      <c r="AU536" s="84"/>
      <c r="AV536" s="136"/>
      <c r="AW536" s="77"/>
      <c r="AX536" s="137"/>
      <c r="AY536" s="138"/>
      <c r="AZ536" s="220">
        <f t="shared" si="32"/>
        <v>0</v>
      </c>
      <c r="BA536" s="220">
        <f t="shared" si="33"/>
        <v>0</v>
      </c>
    </row>
    <row r="537" spans="1:53" ht="50.1" customHeight="1" x14ac:dyDescent="0.25">
      <c r="A537" s="17">
        <f t="shared" si="34"/>
        <v>523</v>
      </c>
      <c r="B537" s="228"/>
      <c r="C537" s="221"/>
      <c r="D537" s="88"/>
      <c r="E537" s="100"/>
      <c r="F537" s="95"/>
      <c r="G537" s="114"/>
      <c r="H537" s="96"/>
      <c r="I537" s="97"/>
      <c r="J537" s="98"/>
      <c r="K537" s="101"/>
      <c r="L537" s="124"/>
      <c r="M537" s="333"/>
      <c r="N537" s="341"/>
      <c r="O537" s="82"/>
      <c r="P537" s="93"/>
      <c r="Q537" s="82"/>
      <c r="R537" s="93"/>
      <c r="S537" s="298"/>
      <c r="T537" s="304"/>
      <c r="U537" s="307"/>
      <c r="V537" s="309"/>
      <c r="W537" s="248"/>
      <c r="X537" s="342"/>
      <c r="Y537" s="336"/>
      <c r="Z537" s="123"/>
      <c r="AA537" s="33"/>
      <c r="AB537" s="123"/>
      <c r="AC537" s="33"/>
      <c r="AD537" s="123"/>
      <c r="AE537" s="33"/>
      <c r="AF537" s="123"/>
      <c r="AG537" s="243"/>
      <c r="AH537" s="33"/>
      <c r="AI537" s="245"/>
      <c r="AJ537" s="125"/>
      <c r="AK537" s="91"/>
      <c r="AL537" s="126"/>
      <c r="AM537" s="91"/>
      <c r="AN537" s="91"/>
      <c r="AO537" s="197">
        <f t="shared" si="35"/>
        <v>0</v>
      </c>
      <c r="AP537" s="126"/>
      <c r="AQ537" s="216"/>
      <c r="AR537" s="127"/>
      <c r="AS537" s="269"/>
      <c r="AT537" s="94"/>
      <c r="AU537" s="84"/>
      <c r="AV537" s="80"/>
      <c r="AW537" s="81"/>
      <c r="AX537" s="77"/>
      <c r="AY537" s="107"/>
      <c r="AZ537" s="220">
        <f t="shared" si="32"/>
        <v>0</v>
      </c>
      <c r="BA537" s="220">
        <f t="shared" si="33"/>
        <v>0</v>
      </c>
    </row>
    <row r="538" spans="1:53" ht="50.1" customHeight="1" x14ac:dyDescent="0.25">
      <c r="A538" s="17">
        <f t="shared" si="34"/>
        <v>524</v>
      </c>
      <c r="B538" s="229"/>
      <c r="C538" s="222"/>
      <c r="D538" s="112"/>
      <c r="E538" s="128"/>
      <c r="F538" s="129"/>
      <c r="G538" s="130"/>
      <c r="H538" s="131"/>
      <c r="I538" s="132"/>
      <c r="J538" s="108"/>
      <c r="K538" s="133"/>
      <c r="L538" s="134"/>
      <c r="M538" s="334"/>
      <c r="N538" s="343"/>
      <c r="O538" s="135"/>
      <c r="P538" s="82"/>
      <c r="Q538" s="135"/>
      <c r="R538" s="82"/>
      <c r="S538" s="299"/>
      <c r="T538" s="305"/>
      <c r="U538" s="298"/>
      <c r="V538" s="304"/>
      <c r="W538" s="249"/>
      <c r="X538" s="344"/>
      <c r="Y538" s="337"/>
      <c r="Z538" s="33"/>
      <c r="AA538" s="83"/>
      <c r="AB538" s="33"/>
      <c r="AC538" s="83"/>
      <c r="AD538" s="33"/>
      <c r="AE538" s="83"/>
      <c r="AF538" s="33"/>
      <c r="AG538" s="244"/>
      <c r="AH538" s="83"/>
      <c r="AI538" s="246"/>
      <c r="AJ538" s="102"/>
      <c r="AK538" s="92"/>
      <c r="AL538" s="91"/>
      <c r="AM538" s="92"/>
      <c r="AN538" s="351"/>
      <c r="AO538" s="197">
        <f t="shared" si="35"/>
        <v>0</v>
      </c>
      <c r="AP538" s="91"/>
      <c r="AQ538" s="217"/>
      <c r="AR538" s="103"/>
      <c r="AS538" s="264"/>
      <c r="AT538" s="94"/>
      <c r="AU538" s="84"/>
      <c r="AV538" s="136"/>
      <c r="AW538" s="77"/>
      <c r="AX538" s="137"/>
      <c r="AY538" s="138"/>
      <c r="AZ538" s="220">
        <f t="shared" si="32"/>
        <v>0</v>
      </c>
      <c r="BA538" s="220">
        <f t="shared" si="33"/>
        <v>0</v>
      </c>
    </row>
    <row r="539" spans="1:53" ht="50.1" customHeight="1" x14ac:dyDescent="0.25">
      <c r="A539" s="17">
        <f t="shared" si="34"/>
        <v>525</v>
      </c>
      <c r="B539" s="228"/>
      <c r="C539" s="221"/>
      <c r="D539" s="88"/>
      <c r="E539" s="100"/>
      <c r="F539" s="95"/>
      <c r="G539" s="114"/>
      <c r="H539" s="96"/>
      <c r="I539" s="97"/>
      <c r="J539" s="98"/>
      <c r="K539" s="101"/>
      <c r="L539" s="124"/>
      <c r="M539" s="333"/>
      <c r="N539" s="341"/>
      <c r="O539" s="82"/>
      <c r="P539" s="93"/>
      <c r="Q539" s="82"/>
      <c r="R539" s="93"/>
      <c r="S539" s="298"/>
      <c r="T539" s="304"/>
      <c r="U539" s="307"/>
      <c r="V539" s="309"/>
      <c r="W539" s="248"/>
      <c r="X539" s="342"/>
      <c r="Y539" s="336"/>
      <c r="Z539" s="123"/>
      <c r="AA539" s="33"/>
      <c r="AB539" s="123"/>
      <c r="AC539" s="33"/>
      <c r="AD539" s="123"/>
      <c r="AE539" s="33"/>
      <c r="AF539" s="123"/>
      <c r="AG539" s="243"/>
      <c r="AH539" s="33"/>
      <c r="AI539" s="245"/>
      <c r="AJ539" s="125"/>
      <c r="AK539" s="91"/>
      <c r="AL539" s="126"/>
      <c r="AM539" s="91"/>
      <c r="AN539" s="91"/>
      <c r="AO539" s="197">
        <f t="shared" si="35"/>
        <v>0</v>
      </c>
      <c r="AP539" s="126"/>
      <c r="AQ539" s="216"/>
      <c r="AR539" s="127"/>
      <c r="AS539" s="269"/>
      <c r="AT539" s="94"/>
      <c r="AU539" s="84"/>
      <c r="AV539" s="80"/>
      <c r="AW539" s="81"/>
      <c r="AX539" s="77"/>
      <c r="AY539" s="107"/>
      <c r="AZ539" s="220">
        <f t="shared" si="32"/>
        <v>0</v>
      </c>
      <c r="BA539" s="220">
        <f t="shared" si="33"/>
        <v>0</v>
      </c>
    </row>
    <row r="540" spans="1:53" ht="50.1" customHeight="1" x14ac:dyDescent="0.25">
      <c r="A540" s="17">
        <f t="shared" si="34"/>
        <v>526</v>
      </c>
      <c r="B540" s="229"/>
      <c r="C540" s="222"/>
      <c r="D540" s="112"/>
      <c r="E540" s="128"/>
      <c r="F540" s="129"/>
      <c r="G540" s="130"/>
      <c r="H540" s="131"/>
      <c r="I540" s="132"/>
      <c r="J540" s="108"/>
      <c r="K540" s="133"/>
      <c r="L540" s="134"/>
      <c r="M540" s="334"/>
      <c r="N540" s="343"/>
      <c r="O540" s="135"/>
      <c r="P540" s="82"/>
      <c r="Q540" s="135"/>
      <c r="R540" s="82"/>
      <c r="S540" s="299"/>
      <c r="T540" s="305"/>
      <c r="U540" s="298"/>
      <c r="V540" s="304"/>
      <c r="W540" s="249"/>
      <c r="X540" s="344"/>
      <c r="Y540" s="337"/>
      <c r="Z540" s="33"/>
      <c r="AA540" s="83"/>
      <c r="AB540" s="33"/>
      <c r="AC540" s="83"/>
      <c r="AD540" s="33"/>
      <c r="AE540" s="83"/>
      <c r="AF540" s="33"/>
      <c r="AG540" s="244"/>
      <c r="AH540" s="83"/>
      <c r="AI540" s="246"/>
      <c r="AJ540" s="102"/>
      <c r="AK540" s="92"/>
      <c r="AL540" s="91"/>
      <c r="AM540" s="92"/>
      <c r="AN540" s="351"/>
      <c r="AO540" s="197">
        <f t="shared" si="35"/>
        <v>0</v>
      </c>
      <c r="AP540" s="91"/>
      <c r="AQ540" s="217"/>
      <c r="AR540" s="103"/>
      <c r="AS540" s="264"/>
      <c r="AT540" s="94"/>
      <c r="AU540" s="84"/>
      <c r="AV540" s="136"/>
      <c r="AW540" s="77"/>
      <c r="AX540" s="137"/>
      <c r="AY540" s="138"/>
      <c r="AZ540" s="220">
        <f t="shared" si="32"/>
        <v>0</v>
      </c>
      <c r="BA540" s="220">
        <f t="shared" si="33"/>
        <v>0</v>
      </c>
    </row>
    <row r="541" spans="1:53" ht="50.1" customHeight="1" x14ac:dyDescent="0.25">
      <c r="A541" s="17">
        <f t="shared" si="34"/>
        <v>527</v>
      </c>
      <c r="B541" s="228"/>
      <c r="C541" s="221"/>
      <c r="D541" s="88"/>
      <c r="E541" s="100"/>
      <c r="F541" s="95"/>
      <c r="G541" s="114"/>
      <c r="H541" s="96"/>
      <c r="I541" s="97"/>
      <c r="J541" s="98"/>
      <c r="K541" s="101"/>
      <c r="L541" s="124"/>
      <c r="M541" s="333"/>
      <c r="N541" s="341"/>
      <c r="O541" s="82"/>
      <c r="P541" s="93"/>
      <c r="Q541" s="82"/>
      <c r="R541" s="93"/>
      <c r="S541" s="298"/>
      <c r="T541" s="304"/>
      <c r="U541" s="307"/>
      <c r="V541" s="309"/>
      <c r="W541" s="248"/>
      <c r="X541" s="342"/>
      <c r="Y541" s="336"/>
      <c r="Z541" s="123"/>
      <c r="AA541" s="33"/>
      <c r="AB541" s="123"/>
      <c r="AC541" s="33"/>
      <c r="AD541" s="123"/>
      <c r="AE541" s="33"/>
      <c r="AF541" s="123"/>
      <c r="AG541" s="243"/>
      <c r="AH541" s="33"/>
      <c r="AI541" s="245"/>
      <c r="AJ541" s="125"/>
      <c r="AK541" s="91"/>
      <c r="AL541" s="126"/>
      <c r="AM541" s="91"/>
      <c r="AN541" s="91"/>
      <c r="AO541" s="197">
        <f t="shared" si="35"/>
        <v>0</v>
      </c>
      <c r="AP541" s="126"/>
      <c r="AQ541" s="216"/>
      <c r="AR541" s="127"/>
      <c r="AS541" s="269"/>
      <c r="AT541" s="94"/>
      <c r="AU541" s="84"/>
      <c r="AV541" s="80"/>
      <c r="AW541" s="81"/>
      <c r="AX541" s="77"/>
      <c r="AY541" s="107"/>
      <c r="AZ541" s="220">
        <f t="shared" si="32"/>
        <v>0</v>
      </c>
      <c r="BA541" s="220">
        <f t="shared" si="33"/>
        <v>0</v>
      </c>
    </row>
    <row r="542" spans="1:53" ht="50.1" customHeight="1" x14ac:dyDescent="0.25">
      <c r="A542" s="17">
        <f t="shared" si="34"/>
        <v>528</v>
      </c>
      <c r="B542" s="229"/>
      <c r="C542" s="222"/>
      <c r="D542" s="112"/>
      <c r="E542" s="128"/>
      <c r="F542" s="129"/>
      <c r="G542" s="130"/>
      <c r="H542" s="131"/>
      <c r="I542" s="132"/>
      <c r="J542" s="108"/>
      <c r="K542" s="133"/>
      <c r="L542" s="134"/>
      <c r="M542" s="334"/>
      <c r="N542" s="343"/>
      <c r="O542" s="135"/>
      <c r="P542" s="82"/>
      <c r="Q542" s="135"/>
      <c r="R542" s="82"/>
      <c r="S542" s="299"/>
      <c r="T542" s="305"/>
      <c r="U542" s="298"/>
      <c r="V542" s="304"/>
      <c r="W542" s="249"/>
      <c r="X542" s="344"/>
      <c r="Y542" s="337"/>
      <c r="Z542" s="33"/>
      <c r="AA542" s="83"/>
      <c r="AB542" s="33"/>
      <c r="AC542" s="83"/>
      <c r="AD542" s="33"/>
      <c r="AE542" s="83"/>
      <c r="AF542" s="33"/>
      <c r="AG542" s="244"/>
      <c r="AH542" s="83"/>
      <c r="AI542" s="246"/>
      <c r="AJ542" s="102"/>
      <c r="AK542" s="92"/>
      <c r="AL542" s="91"/>
      <c r="AM542" s="92"/>
      <c r="AN542" s="351"/>
      <c r="AO542" s="197">
        <f t="shared" si="35"/>
        <v>0</v>
      </c>
      <c r="AP542" s="91"/>
      <c r="AQ542" s="217"/>
      <c r="AR542" s="103"/>
      <c r="AS542" s="264"/>
      <c r="AT542" s="94"/>
      <c r="AU542" s="84"/>
      <c r="AV542" s="136"/>
      <c r="AW542" s="77"/>
      <c r="AX542" s="137"/>
      <c r="AY542" s="138"/>
      <c r="AZ542" s="220">
        <f t="shared" si="32"/>
        <v>0</v>
      </c>
      <c r="BA542" s="220">
        <f t="shared" si="33"/>
        <v>0</v>
      </c>
    </row>
    <row r="543" spans="1:53" ht="50.1" customHeight="1" x14ac:dyDescent="0.25">
      <c r="A543" s="17">
        <f t="shared" si="34"/>
        <v>529</v>
      </c>
      <c r="B543" s="228"/>
      <c r="C543" s="221"/>
      <c r="D543" s="88"/>
      <c r="E543" s="100"/>
      <c r="F543" s="95"/>
      <c r="G543" s="114"/>
      <c r="H543" s="96"/>
      <c r="I543" s="97"/>
      <c r="J543" s="98"/>
      <c r="K543" s="101"/>
      <c r="L543" s="124"/>
      <c r="M543" s="333"/>
      <c r="N543" s="341"/>
      <c r="O543" s="82"/>
      <c r="P543" s="93"/>
      <c r="Q543" s="82"/>
      <c r="R543" s="93"/>
      <c r="S543" s="298"/>
      <c r="T543" s="304"/>
      <c r="U543" s="307"/>
      <c r="V543" s="309"/>
      <c r="W543" s="248"/>
      <c r="X543" s="342"/>
      <c r="Y543" s="336"/>
      <c r="Z543" s="123"/>
      <c r="AA543" s="33"/>
      <c r="AB543" s="123"/>
      <c r="AC543" s="33"/>
      <c r="AD543" s="123"/>
      <c r="AE543" s="33"/>
      <c r="AF543" s="123"/>
      <c r="AG543" s="243"/>
      <c r="AH543" s="33"/>
      <c r="AI543" s="245"/>
      <c r="AJ543" s="125"/>
      <c r="AK543" s="91"/>
      <c r="AL543" s="126"/>
      <c r="AM543" s="91"/>
      <c r="AN543" s="91"/>
      <c r="AO543" s="197">
        <f t="shared" si="35"/>
        <v>0</v>
      </c>
      <c r="AP543" s="126"/>
      <c r="AQ543" s="216"/>
      <c r="AR543" s="127"/>
      <c r="AS543" s="269"/>
      <c r="AT543" s="94"/>
      <c r="AU543" s="84"/>
      <c r="AV543" s="80"/>
      <c r="AW543" s="81"/>
      <c r="AX543" s="77"/>
      <c r="AY543" s="107"/>
      <c r="AZ543" s="220">
        <f t="shared" si="32"/>
        <v>0</v>
      </c>
      <c r="BA543" s="220">
        <f t="shared" si="33"/>
        <v>0</v>
      </c>
    </row>
    <row r="544" spans="1:53" ht="50.1" customHeight="1" x14ac:dyDescent="0.25">
      <c r="A544" s="17">
        <f t="shared" si="34"/>
        <v>530</v>
      </c>
      <c r="B544" s="229"/>
      <c r="C544" s="222"/>
      <c r="D544" s="112"/>
      <c r="E544" s="128"/>
      <c r="F544" s="129"/>
      <c r="G544" s="130"/>
      <c r="H544" s="131"/>
      <c r="I544" s="132"/>
      <c r="J544" s="108"/>
      <c r="K544" s="133"/>
      <c r="L544" s="134"/>
      <c r="M544" s="334"/>
      <c r="N544" s="343"/>
      <c r="O544" s="135"/>
      <c r="P544" s="82"/>
      <c r="Q544" s="135"/>
      <c r="R544" s="82"/>
      <c r="S544" s="299"/>
      <c r="T544" s="305"/>
      <c r="U544" s="298"/>
      <c r="V544" s="304"/>
      <c r="W544" s="249"/>
      <c r="X544" s="344"/>
      <c r="Y544" s="337"/>
      <c r="Z544" s="33"/>
      <c r="AA544" s="83"/>
      <c r="AB544" s="33"/>
      <c r="AC544" s="83"/>
      <c r="AD544" s="33"/>
      <c r="AE544" s="83"/>
      <c r="AF544" s="33"/>
      <c r="AG544" s="244"/>
      <c r="AH544" s="83"/>
      <c r="AI544" s="246"/>
      <c r="AJ544" s="102"/>
      <c r="AK544" s="92"/>
      <c r="AL544" s="91"/>
      <c r="AM544" s="92"/>
      <c r="AN544" s="351"/>
      <c r="AO544" s="197">
        <f t="shared" si="35"/>
        <v>0</v>
      </c>
      <c r="AP544" s="91"/>
      <c r="AQ544" s="217"/>
      <c r="AR544" s="103"/>
      <c r="AS544" s="264"/>
      <c r="AT544" s="94"/>
      <c r="AU544" s="84"/>
      <c r="AV544" s="136"/>
      <c r="AW544" s="77"/>
      <c r="AX544" s="137"/>
      <c r="AY544" s="138"/>
      <c r="AZ544" s="220">
        <f t="shared" si="32"/>
        <v>0</v>
      </c>
      <c r="BA544" s="220">
        <f t="shared" si="33"/>
        <v>0</v>
      </c>
    </row>
    <row r="545" spans="1:53" ht="50.1" customHeight="1" x14ac:dyDescent="0.25">
      <c r="A545" s="17">
        <f t="shared" si="34"/>
        <v>531</v>
      </c>
      <c r="B545" s="228"/>
      <c r="C545" s="221"/>
      <c r="D545" s="88"/>
      <c r="E545" s="100"/>
      <c r="F545" s="95"/>
      <c r="G545" s="114"/>
      <c r="H545" s="96"/>
      <c r="I545" s="97"/>
      <c r="J545" s="98"/>
      <c r="K545" s="101"/>
      <c r="L545" s="124"/>
      <c r="M545" s="333"/>
      <c r="N545" s="341"/>
      <c r="O545" s="82"/>
      <c r="P545" s="93"/>
      <c r="Q545" s="82"/>
      <c r="R545" s="93"/>
      <c r="S545" s="298"/>
      <c r="T545" s="304"/>
      <c r="U545" s="307"/>
      <c r="V545" s="309"/>
      <c r="W545" s="248"/>
      <c r="X545" s="342"/>
      <c r="Y545" s="336"/>
      <c r="Z545" s="123"/>
      <c r="AA545" s="33"/>
      <c r="AB545" s="123"/>
      <c r="AC545" s="33"/>
      <c r="AD545" s="123"/>
      <c r="AE545" s="33"/>
      <c r="AF545" s="123"/>
      <c r="AG545" s="243"/>
      <c r="AH545" s="33"/>
      <c r="AI545" s="245"/>
      <c r="AJ545" s="125"/>
      <c r="AK545" s="91"/>
      <c r="AL545" s="126"/>
      <c r="AM545" s="91"/>
      <c r="AN545" s="91"/>
      <c r="AO545" s="197">
        <f t="shared" si="35"/>
        <v>0</v>
      </c>
      <c r="AP545" s="126"/>
      <c r="AQ545" s="216"/>
      <c r="AR545" s="127"/>
      <c r="AS545" s="269"/>
      <c r="AT545" s="94"/>
      <c r="AU545" s="84"/>
      <c r="AV545" s="80"/>
      <c r="AW545" s="81"/>
      <c r="AX545" s="77"/>
      <c r="AY545" s="107"/>
      <c r="AZ545" s="220">
        <f t="shared" si="32"/>
        <v>0</v>
      </c>
      <c r="BA545" s="220">
        <f t="shared" si="33"/>
        <v>0</v>
      </c>
    </row>
    <row r="546" spans="1:53" ht="50.1" customHeight="1" x14ac:dyDescent="0.25">
      <c r="A546" s="17">
        <f t="shared" si="34"/>
        <v>532</v>
      </c>
      <c r="B546" s="229"/>
      <c r="C546" s="222"/>
      <c r="D546" s="112"/>
      <c r="E546" s="128"/>
      <c r="F546" s="129"/>
      <c r="G546" s="130"/>
      <c r="H546" s="131"/>
      <c r="I546" s="132"/>
      <c r="J546" s="108"/>
      <c r="K546" s="133"/>
      <c r="L546" s="134"/>
      <c r="M546" s="334"/>
      <c r="N546" s="343"/>
      <c r="O546" s="135"/>
      <c r="P546" s="82"/>
      <c r="Q546" s="135"/>
      <c r="R546" s="82"/>
      <c r="S546" s="299"/>
      <c r="T546" s="305"/>
      <c r="U546" s="298"/>
      <c r="V546" s="304"/>
      <c r="W546" s="249"/>
      <c r="X546" s="344"/>
      <c r="Y546" s="337"/>
      <c r="Z546" s="33"/>
      <c r="AA546" s="83"/>
      <c r="AB546" s="33"/>
      <c r="AC546" s="83"/>
      <c r="AD546" s="33"/>
      <c r="AE546" s="83"/>
      <c r="AF546" s="33"/>
      <c r="AG546" s="244"/>
      <c r="AH546" s="83"/>
      <c r="AI546" s="246"/>
      <c r="AJ546" s="102"/>
      <c r="AK546" s="92"/>
      <c r="AL546" s="91"/>
      <c r="AM546" s="92"/>
      <c r="AN546" s="351"/>
      <c r="AO546" s="197">
        <f t="shared" si="35"/>
        <v>0</v>
      </c>
      <c r="AP546" s="91"/>
      <c r="AQ546" s="217"/>
      <c r="AR546" s="103"/>
      <c r="AS546" s="264"/>
      <c r="AT546" s="94"/>
      <c r="AU546" s="84"/>
      <c r="AV546" s="136"/>
      <c r="AW546" s="77"/>
      <c r="AX546" s="137"/>
      <c r="AY546" s="138"/>
      <c r="AZ546" s="220">
        <f t="shared" si="32"/>
        <v>0</v>
      </c>
      <c r="BA546" s="220">
        <f t="shared" si="33"/>
        <v>0</v>
      </c>
    </row>
    <row r="547" spans="1:53" ht="50.1" customHeight="1" x14ac:dyDescent="0.25">
      <c r="A547" s="17">
        <f t="shared" si="34"/>
        <v>533</v>
      </c>
      <c r="B547" s="228"/>
      <c r="C547" s="221"/>
      <c r="D547" s="88"/>
      <c r="E547" s="100"/>
      <c r="F547" s="95"/>
      <c r="G547" s="114"/>
      <c r="H547" s="96"/>
      <c r="I547" s="97"/>
      <c r="J547" s="98"/>
      <c r="K547" s="101"/>
      <c r="L547" s="124"/>
      <c r="M547" s="333"/>
      <c r="N547" s="341"/>
      <c r="O547" s="82"/>
      <c r="P547" s="93"/>
      <c r="Q547" s="82"/>
      <c r="R547" s="93"/>
      <c r="S547" s="298"/>
      <c r="T547" s="304"/>
      <c r="U547" s="307"/>
      <c r="V547" s="309"/>
      <c r="W547" s="248"/>
      <c r="X547" s="342"/>
      <c r="Y547" s="336"/>
      <c r="Z547" s="123"/>
      <c r="AA547" s="33"/>
      <c r="AB547" s="123"/>
      <c r="AC547" s="33"/>
      <c r="AD547" s="123"/>
      <c r="AE547" s="33"/>
      <c r="AF547" s="123"/>
      <c r="AG547" s="243"/>
      <c r="AH547" s="33"/>
      <c r="AI547" s="245"/>
      <c r="AJ547" s="125"/>
      <c r="AK547" s="91"/>
      <c r="AL547" s="126"/>
      <c r="AM547" s="91"/>
      <c r="AN547" s="91"/>
      <c r="AO547" s="197">
        <f t="shared" si="35"/>
        <v>0</v>
      </c>
      <c r="AP547" s="126"/>
      <c r="AQ547" s="216"/>
      <c r="AR547" s="127"/>
      <c r="AS547" s="269"/>
      <c r="AT547" s="94"/>
      <c r="AU547" s="84"/>
      <c r="AV547" s="80"/>
      <c r="AW547" s="81"/>
      <c r="AX547" s="77"/>
      <c r="AY547" s="107"/>
      <c r="AZ547" s="220">
        <f t="shared" si="32"/>
        <v>0</v>
      </c>
      <c r="BA547" s="220">
        <f t="shared" si="33"/>
        <v>0</v>
      </c>
    </row>
    <row r="548" spans="1:53" ht="50.1" customHeight="1" x14ac:dyDescent="0.25">
      <c r="A548" s="17">
        <f t="shared" si="34"/>
        <v>534</v>
      </c>
      <c r="B548" s="229"/>
      <c r="C548" s="222"/>
      <c r="D548" s="112"/>
      <c r="E548" s="128"/>
      <c r="F548" s="129"/>
      <c r="G548" s="130"/>
      <c r="H548" s="131"/>
      <c r="I548" s="132"/>
      <c r="J548" s="108"/>
      <c r="K548" s="133"/>
      <c r="L548" s="134"/>
      <c r="M548" s="334"/>
      <c r="N548" s="343"/>
      <c r="O548" s="135"/>
      <c r="P548" s="82"/>
      <c r="Q548" s="135"/>
      <c r="R548" s="82"/>
      <c r="S548" s="299"/>
      <c r="T548" s="305"/>
      <c r="U548" s="298"/>
      <c r="V548" s="304"/>
      <c r="W548" s="249"/>
      <c r="X548" s="344"/>
      <c r="Y548" s="337"/>
      <c r="Z548" s="33"/>
      <c r="AA548" s="83"/>
      <c r="AB548" s="33"/>
      <c r="AC548" s="83"/>
      <c r="AD548" s="33"/>
      <c r="AE548" s="83"/>
      <c r="AF548" s="33"/>
      <c r="AG548" s="244"/>
      <c r="AH548" s="83"/>
      <c r="AI548" s="246"/>
      <c r="AJ548" s="102"/>
      <c r="AK548" s="92"/>
      <c r="AL548" s="91"/>
      <c r="AM548" s="92"/>
      <c r="AN548" s="351"/>
      <c r="AO548" s="197">
        <f t="shared" si="35"/>
        <v>0</v>
      </c>
      <c r="AP548" s="91"/>
      <c r="AQ548" s="217"/>
      <c r="AR548" s="103"/>
      <c r="AS548" s="264"/>
      <c r="AT548" s="94"/>
      <c r="AU548" s="84"/>
      <c r="AV548" s="136"/>
      <c r="AW548" s="77"/>
      <c r="AX548" s="137"/>
      <c r="AY548" s="138"/>
      <c r="AZ548" s="220">
        <f t="shared" si="32"/>
        <v>0</v>
      </c>
      <c r="BA548" s="220">
        <f t="shared" si="33"/>
        <v>0</v>
      </c>
    </row>
    <row r="549" spans="1:53" ht="50.1" customHeight="1" x14ac:dyDescent="0.25">
      <c r="A549" s="17">
        <f t="shared" si="34"/>
        <v>535</v>
      </c>
      <c r="B549" s="228"/>
      <c r="C549" s="221"/>
      <c r="D549" s="88"/>
      <c r="E549" s="100"/>
      <c r="F549" s="95"/>
      <c r="G549" s="114"/>
      <c r="H549" s="96"/>
      <c r="I549" s="97"/>
      <c r="J549" s="98"/>
      <c r="K549" s="101"/>
      <c r="L549" s="124"/>
      <c r="M549" s="333"/>
      <c r="N549" s="341"/>
      <c r="O549" s="82"/>
      <c r="P549" s="93"/>
      <c r="Q549" s="82"/>
      <c r="R549" s="93"/>
      <c r="S549" s="298"/>
      <c r="T549" s="304"/>
      <c r="U549" s="307"/>
      <c r="V549" s="309"/>
      <c r="W549" s="248"/>
      <c r="X549" s="342"/>
      <c r="Y549" s="336"/>
      <c r="Z549" s="123"/>
      <c r="AA549" s="33"/>
      <c r="AB549" s="123"/>
      <c r="AC549" s="33"/>
      <c r="AD549" s="123"/>
      <c r="AE549" s="33"/>
      <c r="AF549" s="123"/>
      <c r="AG549" s="243"/>
      <c r="AH549" s="33"/>
      <c r="AI549" s="245"/>
      <c r="AJ549" s="125"/>
      <c r="AK549" s="91"/>
      <c r="AL549" s="126"/>
      <c r="AM549" s="91"/>
      <c r="AN549" s="91"/>
      <c r="AO549" s="197">
        <f t="shared" si="35"/>
        <v>0</v>
      </c>
      <c r="AP549" s="126"/>
      <c r="AQ549" s="216"/>
      <c r="AR549" s="127"/>
      <c r="AS549" s="269"/>
      <c r="AT549" s="94"/>
      <c r="AU549" s="84"/>
      <c r="AV549" s="80"/>
      <c r="AW549" s="81"/>
      <c r="AX549" s="77"/>
      <c r="AY549" s="107"/>
      <c r="AZ549" s="220">
        <f t="shared" si="32"/>
        <v>0</v>
      </c>
      <c r="BA549" s="220">
        <f t="shared" si="33"/>
        <v>0</v>
      </c>
    </row>
    <row r="550" spans="1:53" ht="50.1" customHeight="1" x14ac:dyDescent="0.25">
      <c r="A550" s="17">
        <f t="shared" si="34"/>
        <v>536</v>
      </c>
      <c r="B550" s="229"/>
      <c r="C550" s="222"/>
      <c r="D550" s="112"/>
      <c r="E550" s="128"/>
      <c r="F550" s="129"/>
      <c r="G550" s="130"/>
      <c r="H550" s="131"/>
      <c r="I550" s="132"/>
      <c r="J550" s="108"/>
      <c r="K550" s="133"/>
      <c r="L550" s="134"/>
      <c r="M550" s="334"/>
      <c r="N550" s="343"/>
      <c r="O550" s="135"/>
      <c r="P550" s="82"/>
      <c r="Q550" s="135"/>
      <c r="R550" s="82"/>
      <c r="S550" s="299"/>
      <c r="T550" s="305"/>
      <c r="U550" s="298"/>
      <c r="V550" s="304"/>
      <c r="W550" s="249"/>
      <c r="X550" s="344"/>
      <c r="Y550" s="337"/>
      <c r="Z550" s="33"/>
      <c r="AA550" s="83"/>
      <c r="AB550" s="33"/>
      <c r="AC550" s="83"/>
      <c r="AD550" s="33"/>
      <c r="AE550" s="83"/>
      <c r="AF550" s="33"/>
      <c r="AG550" s="244"/>
      <c r="AH550" s="83"/>
      <c r="AI550" s="246"/>
      <c r="AJ550" s="102"/>
      <c r="AK550" s="92"/>
      <c r="AL550" s="91"/>
      <c r="AM550" s="92"/>
      <c r="AN550" s="351"/>
      <c r="AO550" s="197">
        <f t="shared" si="35"/>
        <v>0</v>
      </c>
      <c r="AP550" s="91"/>
      <c r="AQ550" s="217"/>
      <c r="AR550" s="103"/>
      <c r="AS550" s="264"/>
      <c r="AT550" s="94"/>
      <c r="AU550" s="84"/>
      <c r="AV550" s="136"/>
      <c r="AW550" s="77"/>
      <c r="AX550" s="137"/>
      <c r="AY550" s="138"/>
      <c r="AZ550" s="220">
        <f t="shared" si="32"/>
        <v>0</v>
      </c>
      <c r="BA550" s="220">
        <f t="shared" si="33"/>
        <v>0</v>
      </c>
    </row>
    <row r="551" spans="1:53" ht="50.1" customHeight="1" x14ac:dyDescent="0.25">
      <c r="A551" s="17">
        <f t="shared" si="34"/>
        <v>537</v>
      </c>
      <c r="B551" s="228"/>
      <c r="C551" s="221"/>
      <c r="D551" s="88"/>
      <c r="E551" s="100"/>
      <c r="F551" s="95"/>
      <c r="G551" s="114"/>
      <c r="H551" s="96"/>
      <c r="I551" s="97"/>
      <c r="J551" s="98"/>
      <c r="K551" s="101"/>
      <c r="L551" s="124"/>
      <c r="M551" s="333"/>
      <c r="N551" s="341"/>
      <c r="O551" s="82"/>
      <c r="P551" s="93"/>
      <c r="Q551" s="82"/>
      <c r="R551" s="93"/>
      <c r="S551" s="298"/>
      <c r="T551" s="304"/>
      <c r="U551" s="307"/>
      <c r="V551" s="309"/>
      <c r="W551" s="248"/>
      <c r="X551" s="342"/>
      <c r="Y551" s="336"/>
      <c r="Z551" s="123"/>
      <c r="AA551" s="33"/>
      <c r="AB551" s="123"/>
      <c r="AC551" s="33"/>
      <c r="AD551" s="123"/>
      <c r="AE551" s="33"/>
      <c r="AF551" s="123"/>
      <c r="AG551" s="243"/>
      <c r="AH551" s="33"/>
      <c r="AI551" s="245"/>
      <c r="AJ551" s="125"/>
      <c r="AK551" s="91"/>
      <c r="AL551" s="126"/>
      <c r="AM551" s="91"/>
      <c r="AN551" s="91"/>
      <c r="AO551" s="197">
        <f t="shared" si="35"/>
        <v>0</v>
      </c>
      <c r="AP551" s="126"/>
      <c r="AQ551" s="216"/>
      <c r="AR551" s="127"/>
      <c r="AS551" s="269"/>
      <c r="AT551" s="94"/>
      <c r="AU551" s="84"/>
      <c r="AV551" s="80"/>
      <c r="AW551" s="81"/>
      <c r="AX551" s="77"/>
      <c r="AY551" s="107"/>
      <c r="AZ551" s="220">
        <f t="shared" si="32"/>
        <v>0</v>
      </c>
      <c r="BA551" s="220">
        <f t="shared" si="33"/>
        <v>0</v>
      </c>
    </row>
    <row r="552" spans="1:53" ht="50.1" customHeight="1" x14ac:dyDescent="0.25">
      <c r="A552" s="17">
        <f t="shared" si="34"/>
        <v>538</v>
      </c>
      <c r="B552" s="229"/>
      <c r="C552" s="222"/>
      <c r="D552" s="112"/>
      <c r="E552" s="128"/>
      <c r="F552" s="129"/>
      <c r="G552" s="130"/>
      <c r="H552" s="131"/>
      <c r="I552" s="132"/>
      <c r="J552" s="108"/>
      <c r="K552" s="133"/>
      <c r="L552" s="134"/>
      <c r="M552" s="334"/>
      <c r="N552" s="343"/>
      <c r="O552" s="135"/>
      <c r="P552" s="82"/>
      <c r="Q552" s="135"/>
      <c r="R552" s="82"/>
      <c r="S552" s="299"/>
      <c r="T552" s="305"/>
      <c r="U552" s="298"/>
      <c r="V552" s="304"/>
      <c r="W552" s="249"/>
      <c r="X552" s="344"/>
      <c r="Y552" s="337"/>
      <c r="Z552" s="33"/>
      <c r="AA552" s="83"/>
      <c r="AB552" s="33"/>
      <c r="AC552" s="83"/>
      <c r="AD552" s="33"/>
      <c r="AE552" s="83"/>
      <c r="AF552" s="33"/>
      <c r="AG552" s="244"/>
      <c r="AH552" s="83"/>
      <c r="AI552" s="246"/>
      <c r="AJ552" s="102"/>
      <c r="AK552" s="92"/>
      <c r="AL552" s="91"/>
      <c r="AM552" s="92"/>
      <c r="AN552" s="351"/>
      <c r="AO552" s="197">
        <f t="shared" si="35"/>
        <v>0</v>
      </c>
      <c r="AP552" s="91"/>
      <c r="AQ552" s="217"/>
      <c r="AR552" s="103"/>
      <c r="AS552" s="264"/>
      <c r="AT552" s="94"/>
      <c r="AU552" s="84"/>
      <c r="AV552" s="136"/>
      <c r="AW552" s="77"/>
      <c r="AX552" s="137"/>
      <c r="AY552" s="138"/>
      <c r="AZ552" s="220">
        <f t="shared" si="32"/>
        <v>0</v>
      </c>
      <c r="BA552" s="220">
        <f t="shared" si="33"/>
        <v>0</v>
      </c>
    </row>
    <row r="553" spans="1:53" ht="50.1" customHeight="1" x14ac:dyDescent="0.25">
      <c r="A553" s="17">
        <f t="shared" si="34"/>
        <v>539</v>
      </c>
      <c r="B553" s="228"/>
      <c r="C553" s="221"/>
      <c r="D553" s="88"/>
      <c r="E553" s="100"/>
      <c r="F553" s="95"/>
      <c r="G553" s="114"/>
      <c r="H553" s="96"/>
      <c r="I553" s="97"/>
      <c r="J553" s="98"/>
      <c r="K553" s="101"/>
      <c r="L553" s="124"/>
      <c r="M553" s="333"/>
      <c r="N553" s="341"/>
      <c r="O553" s="82"/>
      <c r="P553" s="93"/>
      <c r="Q553" s="82"/>
      <c r="R553" s="93"/>
      <c r="S553" s="298"/>
      <c r="T553" s="304"/>
      <c r="U553" s="307"/>
      <c r="V553" s="309"/>
      <c r="W553" s="248"/>
      <c r="X553" s="342"/>
      <c r="Y553" s="336"/>
      <c r="Z553" s="123"/>
      <c r="AA553" s="33"/>
      <c r="AB553" s="123"/>
      <c r="AC553" s="33"/>
      <c r="AD553" s="123"/>
      <c r="AE553" s="33"/>
      <c r="AF553" s="123"/>
      <c r="AG553" s="243"/>
      <c r="AH553" s="33"/>
      <c r="AI553" s="245"/>
      <c r="AJ553" s="125"/>
      <c r="AK553" s="91"/>
      <c r="AL553" s="126"/>
      <c r="AM553" s="91"/>
      <c r="AN553" s="91"/>
      <c r="AO553" s="197">
        <f t="shared" si="35"/>
        <v>0</v>
      </c>
      <c r="AP553" s="126"/>
      <c r="AQ553" s="216"/>
      <c r="AR553" s="127"/>
      <c r="AS553" s="269"/>
      <c r="AT553" s="94"/>
      <c r="AU553" s="84"/>
      <c r="AV553" s="80"/>
      <c r="AW553" s="81"/>
      <c r="AX553" s="77"/>
      <c r="AY553" s="107"/>
      <c r="AZ553" s="220">
        <f t="shared" si="32"/>
        <v>0</v>
      </c>
      <c r="BA553" s="220">
        <f t="shared" si="33"/>
        <v>0</v>
      </c>
    </row>
    <row r="554" spans="1:53" ht="50.1" customHeight="1" x14ac:dyDescent="0.25">
      <c r="A554" s="17">
        <f t="shared" si="34"/>
        <v>540</v>
      </c>
      <c r="B554" s="229"/>
      <c r="C554" s="222"/>
      <c r="D554" s="112"/>
      <c r="E554" s="128"/>
      <c r="F554" s="129"/>
      <c r="G554" s="130"/>
      <c r="H554" s="131"/>
      <c r="I554" s="132"/>
      <c r="J554" s="108"/>
      <c r="K554" s="133"/>
      <c r="L554" s="134"/>
      <c r="M554" s="334"/>
      <c r="N554" s="343"/>
      <c r="O554" s="135"/>
      <c r="P554" s="82"/>
      <c r="Q554" s="135"/>
      <c r="R554" s="82"/>
      <c r="S554" s="299"/>
      <c r="T554" s="305"/>
      <c r="U554" s="298"/>
      <c r="V554" s="304"/>
      <c r="W554" s="249"/>
      <c r="X554" s="344"/>
      <c r="Y554" s="337"/>
      <c r="Z554" s="33"/>
      <c r="AA554" s="83"/>
      <c r="AB554" s="33"/>
      <c r="AC554" s="83"/>
      <c r="AD554" s="33"/>
      <c r="AE554" s="83"/>
      <c r="AF554" s="33"/>
      <c r="AG554" s="244"/>
      <c r="AH554" s="83"/>
      <c r="AI554" s="246"/>
      <c r="AJ554" s="102"/>
      <c r="AK554" s="92"/>
      <c r="AL554" s="91"/>
      <c r="AM554" s="92"/>
      <c r="AN554" s="351"/>
      <c r="AO554" s="197">
        <f t="shared" si="35"/>
        <v>0</v>
      </c>
      <c r="AP554" s="91"/>
      <c r="AQ554" s="217"/>
      <c r="AR554" s="103"/>
      <c r="AS554" s="264"/>
      <c r="AT554" s="94"/>
      <c r="AU554" s="84"/>
      <c r="AV554" s="136"/>
      <c r="AW554" s="77"/>
      <c r="AX554" s="137"/>
      <c r="AY554" s="138"/>
      <c r="AZ554" s="220">
        <f t="shared" si="32"/>
        <v>0</v>
      </c>
      <c r="BA554" s="220">
        <f t="shared" si="33"/>
        <v>0</v>
      </c>
    </row>
    <row r="555" spans="1:53" ht="50.1" customHeight="1" x14ac:dyDescent="0.25">
      <c r="A555" s="17">
        <f t="shared" si="34"/>
        <v>541</v>
      </c>
      <c r="B555" s="228"/>
      <c r="C555" s="221"/>
      <c r="D555" s="88"/>
      <c r="E555" s="100"/>
      <c r="F555" s="95"/>
      <c r="G555" s="114"/>
      <c r="H555" s="96"/>
      <c r="I555" s="97"/>
      <c r="J555" s="98"/>
      <c r="K555" s="101"/>
      <c r="L555" s="124"/>
      <c r="M555" s="333"/>
      <c r="N555" s="341"/>
      <c r="O555" s="82"/>
      <c r="P555" s="93"/>
      <c r="Q555" s="82"/>
      <c r="R555" s="93"/>
      <c r="S555" s="298"/>
      <c r="T555" s="304"/>
      <c r="U555" s="307"/>
      <c r="V555" s="309"/>
      <c r="W555" s="248"/>
      <c r="X555" s="342"/>
      <c r="Y555" s="336"/>
      <c r="Z555" s="123"/>
      <c r="AA555" s="33"/>
      <c r="AB555" s="123"/>
      <c r="AC555" s="33"/>
      <c r="AD555" s="123"/>
      <c r="AE555" s="33"/>
      <c r="AF555" s="123"/>
      <c r="AG555" s="243"/>
      <c r="AH555" s="33"/>
      <c r="AI555" s="245"/>
      <c r="AJ555" s="125"/>
      <c r="AK555" s="91"/>
      <c r="AL555" s="126"/>
      <c r="AM555" s="91"/>
      <c r="AN555" s="91"/>
      <c r="AO555" s="197">
        <f t="shared" si="35"/>
        <v>0</v>
      </c>
      <c r="AP555" s="126"/>
      <c r="AQ555" s="216"/>
      <c r="AR555" s="127"/>
      <c r="AS555" s="269"/>
      <c r="AT555" s="94"/>
      <c r="AU555" s="84"/>
      <c r="AV555" s="80"/>
      <c r="AW555" s="81"/>
      <c r="AX555" s="77"/>
      <c r="AY555" s="107"/>
      <c r="AZ555" s="220">
        <f t="shared" si="32"/>
        <v>0</v>
      </c>
      <c r="BA555" s="220">
        <f t="shared" si="33"/>
        <v>0</v>
      </c>
    </row>
    <row r="556" spans="1:53" ht="50.1" customHeight="1" x14ac:dyDescent="0.25">
      <c r="A556" s="17">
        <f t="shared" si="34"/>
        <v>542</v>
      </c>
      <c r="B556" s="229"/>
      <c r="C556" s="222"/>
      <c r="D556" s="112"/>
      <c r="E556" s="128"/>
      <c r="F556" s="129"/>
      <c r="G556" s="130"/>
      <c r="H556" s="131"/>
      <c r="I556" s="132"/>
      <c r="J556" s="108"/>
      <c r="K556" s="133"/>
      <c r="L556" s="134"/>
      <c r="M556" s="334"/>
      <c r="N556" s="343"/>
      <c r="O556" s="135"/>
      <c r="P556" s="82"/>
      <c r="Q556" s="135"/>
      <c r="R556" s="82"/>
      <c r="S556" s="299"/>
      <c r="T556" s="305"/>
      <c r="U556" s="298"/>
      <c r="V556" s="304"/>
      <c r="W556" s="249"/>
      <c r="X556" s="344"/>
      <c r="Y556" s="337"/>
      <c r="Z556" s="33"/>
      <c r="AA556" s="83"/>
      <c r="AB556" s="33"/>
      <c r="AC556" s="83"/>
      <c r="AD556" s="33"/>
      <c r="AE556" s="83"/>
      <c r="AF556" s="33"/>
      <c r="AG556" s="244"/>
      <c r="AH556" s="83"/>
      <c r="AI556" s="246"/>
      <c r="AJ556" s="102"/>
      <c r="AK556" s="92"/>
      <c r="AL556" s="91"/>
      <c r="AM556" s="92"/>
      <c r="AN556" s="351"/>
      <c r="AO556" s="197">
        <f t="shared" si="35"/>
        <v>0</v>
      </c>
      <c r="AP556" s="91"/>
      <c r="AQ556" s="217"/>
      <c r="AR556" s="103"/>
      <c r="AS556" s="264"/>
      <c r="AT556" s="94"/>
      <c r="AU556" s="84"/>
      <c r="AV556" s="136"/>
      <c r="AW556" s="77"/>
      <c r="AX556" s="137"/>
      <c r="AY556" s="138"/>
      <c r="AZ556" s="220">
        <f t="shared" si="32"/>
        <v>0</v>
      </c>
      <c r="BA556" s="220">
        <f t="shared" si="33"/>
        <v>0</v>
      </c>
    </row>
    <row r="557" spans="1:53" ht="50.1" customHeight="1" x14ac:dyDescent="0.25">
      <c r="A557" s="17">
        <f t="shared" si="34"/>
        <v>543</v>
      </c>
      <c r="B557" s="228"/>
      <c r="C557" s="221"/>
      <c r="D557" s="88"/>
      <c r="E557" s="100"/>
      <c r="F557" s="95"/>
      <c r="G557" s="114"/>
      <c r="H557" s="96"/>
      <c r="I557" s="97"/>
      <c r="J557" s="98"/>
      <c r="K557" s="101"/>
      <c r="L557" s="124"/>
      <c r="M557" s="333"/>
      <c r="N557" s="341"/>
      <c r="O557" s="82"/>
      <c r="P557" s="93"/>
      <c r="Q557" s="82"/>
      <c r="R557" s="93"/>
      <c r="S557" s="298"/>
      <c r="T557" s="304"/>
      <c r="U557" s="307"/>
      <c r="V557" s="309"/>
      <c r="W557" s="248"/>
      <c r="X557" s="342"/>
      <c r="Y557" s="336"/>
      <c r="Z557" s="123"/>
      <c r="AA557" s="33"/>
      <c r="AB557" s="123"/>
      <c r="AC557" s="33"/>
      <c r="AD557" s="123"/>
      <c r="AE557" s="33"/>
      <c r="AF557" s="123"/>
      <c r="AG557" s="243"/>
      <c r="AH557" s="33"/>
      <c r="AI557" s="245"/>
      <c r="AJ557" s="125"/>
      <c r="AK557" s="91"/>
      <c r="AL557" s="126"/>
      <c r="AM557" s="91"/>
      <c r="AN557" s="91"/>
      <c r="AO557" s="197">
        <f t="shared" si="35"/>
        <v>0</v>
      </c>
      <c r="AP557" s="126"/>
      <c r="AQ557" s="216"/>
      <c r="AR557" s="127"/>
      <c r="AS557" s="269"/>
      <c r="AT557" s="94"/>
      <c r="AU557" s="84"/>
      <c r="AV557" s="80"/>
      <c r="AW557" s="81"/>
      <c r="AX557" s="77"/>
      <c r="AY557" s="107"/>
      <c r="AZ557" s="220">
        <f t="shared" si="32"/>
        <v>0</v>
      </c>
      <c r="BA557" s="220">
        <f t="shared" si="33"/>
        <v>0</v>
      </c>
    </row>
    <row r="558" spans="1:53" ht="50.1" customHeight="1" x14ac:dyDescent="0.25">
      <c r="A558" s="17">
        <f t="shared" si="34"/>
        <v>544</v>
      </c>
      <c r="B558" s="229"/>
      <c r="C558" s="222"/>
      <c r="D558" s="112"/>
      <c r="E558" s="128"/>
      <c r="F558" s="129"/>
      <c r="G558" s="130"/>
      <c r="H558" s="131"/>
      <c r="I558" s="132"/>
      <c r="J558" s="108"/>
      <c r="K558" s="133"/>
      <c r="L558" s="134"/>
      <c r="M558" s="334"/>
      <c r="N558" s="343"/>
      <c r="O558" s="135"/>
      <c r="P558" s="82"/>
      <c r="Q558" s="135"/>
      <c r="R558" s="82"/>
      <c r="S558" s="299"/>
      <c r="T558" s="305"/>
      <c r="U558" s="298"/>
      <c r="V558" s="304"/>
      <c r="W558" s="249"/>
      <c r="X558" s="344"/>
      <c r="Y558" s="337"/>
      <c r="Z558" s="33"/>
      <c r="AA558" s="83"/>
      <c r="AB558" s="33"/>
      <c r="AC558" s="83"/>
      <c r="AD558" s="33"/>
      <c r="AE558" s="83"/>
      <c r="AF558" s="33"/>
      <c r="AG558" s="244"/>
      <c r="AH558" s="83"/>
      <c r="AI558" s="246"/>
      <c r="AJ558" s="102"/>
      <c r="AK558" s="92"/>
      <c r="AL558" s="91"/>
      <c r="AM558" s="92"/>
      <c r="AN558" s="351"/>
      <c r="AO558" s="197">
        <f t="shared" si="35"/>
        <v>0</v>
      </c>
      <c r="AP558" s="91"/>
      <c r="AQ558" s="217"/>
      <c r="AR558" s="103"/>
      <c r="AS558" s="264"/>
      <c r="AT558" s="94"/>
      <c r="AU558" s="84"/>
      <c r="AV558" s="136"/>
      <c r="AW558" s="77"/>
      <c r="AX558" s="137"/>
      <c r="AY558" s="138"/>
      <c r="AZ558" s="220">
        <f t="shared" si="32"/>
        <v>0</v>
      </c>
      <c r="BA558" s="220">
        <f t="shared" si="33"/>
        <v>0</v>
      </c>
    </row>
    <row r="559" spans="1:53" ht="50.1" customHeight="1" x14ac:dyDescent="0.25">
      <c r="A559" s="17">
        <f t="shared" si="34"/>
        <v>545</v>
      </c>
      <c r="B559" s="228"/>
      <c r="C559" s="221"/>
      <c r="D559" s="88"/>
      <c r="E559" s="100"/>
      <c r="F559" s="95"/>
      <c r="G559" s="114"/>
      <c r="H559" s="96"/>
      <c r="I559" s="97"/>
      <c r="J559" s="98"/>
      <c r="K559" s="101"/>
      <c r="L559" s="124"/>
      <c r="M559" s="333"/>
      <c r="N559" s="341"/>
      <c r="O559" s="82"/>
      <c r="P559" s="93"/>
      <c r="Q559" s="82"/>
      <c r="R559" s="93"/>
      <c r="S559" s="298"/>
      <c r="T559" s="304"/>
      <c r="U559" s="307"/>
      <c r="V559" s="309"/>
      <c r="W559" s="248"/>
      <c r="X559" s="342"/>
      <c r="Y559" s="336"/>
      <c r="Z559" s="123"/>
      <c r="AA559" s="33"/>
      <c r="AB559" s="123"/>
      <c r="AC559" s="33"/>
      <c r="AD559" s="123"/>
      <c r="AE559" s="33"/>
      <c r="AF559" s="123"/>
      <c r="AG559" s="243"/>
      <c r="AH559" s="33"/>
      <c r="AI559" s="245"/>
      <c r="AJ559" s="125"/>
      <c r="AK559" s="91"/>
      <c r="AL559" s="126"/>
      <c r="AM559" s="91"/>
      <c r="AN559" s="91"/>
      <c r="AO559" s="197">
        <f t="shared" si="35"/>
        <v>0</v>
      </c>
      <c r="AP559" s="126"/>
      <c r="AQ559" s="216"/>
      <c r="AR559" s="127"/>
      <c r="AS559" s="269"/>
      <c r="AT559" s="94"/>
      <c r="AU559" s="84"/>
      <c r="AV559" s="80"/>
      <c r="AW559" s="81"/>
      <c r="AX559" s="77"/>
      <c r="AY559" s="107"/>
      <c r="AZ559" s="220">
        <f t="shared" si="32"/>
        <v>0</v>
      </c>
      <c r="BA559" s="220">
        <f t="shared" si="33"/>
        <v>0</v>
      </c>
    </row>
    <row r="560" spans="1:53" ht="50.1" customHeight="1" x14ac:dyDescent="0.25">
      <c r="A560" s="17">
        <f t="shared" si="34"/>
        <v>546</v>
      </c>
      <c r="B560" s="229"/>
      <c r="C560" s="222"/>
      <c r="D560" s="112"/>
      <c r="E560" s="128"/>
      <c r="F560" s="129"/>
      <c r="G560" s="130"/>
      <c r="H560" s="131"/>
      <c r="I560" s="132"/>
      <c r="J560" s="108"/>
      <c r="K560" s="133"/>
      <c r="L560" s="134"/>
      <c r="M560" s="334"/>
      <c r="N560" s="343"/>
      <c r="O560" s="135"/>
      <c r="P560" s="82"/>
      <c r="Q560" s="135"/>
      <c r="R560" s="82"/>
      <c r="S560" s="299"/>
      <c r="T560" s="305"/>
      <c r="U560" s="298"/>
      <c r="V560" s="304"/>
      <c r="W560" s="249"/>
      <c r="X560" s="344"/>
      <c r="Y560" s="337"/>
      <c r="Z560" s="33"/>
      <c r="AA560" s="83"/>
      <c r="AB560" s="33"/>
      <c r="AC560" s="83"/>
      <c r="AD560" s="33"/>
      <c r="AE560" s="83"/>
      <c r="AF560" s="33"/>
      <c r="AG560" s="244"/>
      <c r="AH560" s="83"/>
      <c r="AI560" s="246"/>
      <c r="AJ560" s="102"/>
      <c r="AK560" s="92"/>
      <c r="AL560" s="91"/>
      <c r="AM560" s="92"/>
      <c r="AN560" s="351"/>
      <c r="AO560" s="197">
        <f t="shared" si="35"/>
        <v>0</v>
      </c>
      <c r="AP560" s="91"/>
      <c r="AQ560" s="217"/>
      <c r="AR560" s="103"/>
      <c r="AS560" s="264"/>
      <c r="AT560" s="94"/>
      <c r="AU560" s="84"/>
      <c r="AV560" s="136"/>
      <c r="AW560" s="77"/>
      <c r="AX560" s="137"/>
      <c r="AY560" s="138"/>
      <c r="AZ560" s="220">
        <f t="shared" si="32"/>
        <v>0</v>
      </c>
      <c r="BA560" s="220">
        <f t="shared" si="33"/>
        <v>0</v>
      </c>
    </row>
    <row r="561" spans="1:53" ht="50.1" customHeight="1" x14ac:dyDescent="0.25">
      <c r="A561" s="17">
        <f t="shared" si="34"/>
        <v>547</v>
      </c>
      <c r="B561" s="228"/>
      <c r="C561" s="221"/>
      <c r="D561" s="88"/>
      <c r="E561" s="100"/>
      <c r="F561" s="95"/>
      <c r="G561" s="114"/>
      <c r="H561" s="96"/>
      <c r="I561" s="97"/>
      <c r="J561" s="98"/>
      <c r="K561" s="101"/>
      <c r="L561" s="124"/>
      <c r="M561" s="333"/>
      <c r="N561" s="341"/>
      <c r="O561" s="82"/>
      <c r="P561" s="93"/>
      <c r="Q561" s="82"/>
      <c r="R561" s="93"/>
      <c r="S561" s="298"/>
      <c r="T561" s="304"/>
      <c r="U561" s="307"/>
      <c r="V561" s="309"/>
      <c r="W561" s="248"/>
      <c r="X561" s="342"/>
      <c r="Y561" s="336"/>
      <c r="Z561" s="123"/>
      <c r="AA561" s="33"/>
      <c r="AB561" s="123"/>
      <c r="AC561" s="33"/>
      <c r="AD561" s="123"/>
      <c r="AE561" s="33"/>
      <c r="AF561" s="123"/>
      <c r="AG561" s="243"/>
      <c r="AH561" s="33"/>
      <c r="AI561" s="245"/>
      <c r="AJ561" s="125"/>
      <c r="AK561" s="91"/>
      <c r="AL561" s="126"/>
      <c r="AM561" s="91"/>
      <c r="AN561" s="91"/>
      <c r="AO561" s="197">
        <f t="shared" si="35"/>
        <v>0</v>
      </c>
      <c r="AP561" s="126"/>
      <c r="AQ561" s="216"/>
      <c r="AR561" s="127"/>
      <c r="AS561" s="269"/>
      <c r="AT561" s="94"/>
      <c r="AU561" s="84"/>
      <c r="AV561" s="80"/>
      <c r="AW561" s="81"/>
      <c r="AX561" s="77"/>
      <c r="AY561" s="107"/>
      <c r="AZ561" s="220">
        <f t="shared" si="32"/>
        <v>0</v>
      </c>
      <c r="BA561" s="220">
        <f t="shared" si="33"/>
        <v>0</v>
      </c>
    </row>
    <row r="562" spans="1:53" ht="50.1" customHeight="1" x14ac:dyDescent="0.25">
      <c r="A562" s="17">
        <f t="shared" si="34"/>
        <v>548</v>
      </c>
      <c r="B562" s="229"/>
      <c r="C562" s="222"/>
      <c r="D562" s="112"/>
      <c r="E562" s="128"/>
      <c r="F562" s="129"/>
      <c r="G562" s="130"/>
      <c r="H562" s="131"/>
      <c r="I562" s="132"/>
      <c r="J562" s="108"/>
      <c r="K562" s="133"/>
      <c r="L562" s="134"/>
      <c r="M562" s="334"/>
      <c r="N562" s="343"/>
      <c r="O562" s="135"/>
      <c r="P562" s="82"/>
      <c r="Q562" s="135"/>
      <c r="R562" s="82"/>
      <c r="S562" s="299"/>
      <c r="T562" s="305"/>
      <c r="U562" s="298"/>
      <c r="V562" s="304"/>
      <c r="W562" s="249"/>
      <c r="X562" s="344"/>
      <c r="Y562" s="337"/>
      <c r="Z562" s="33"/>
      <c r="AA562" s="83"/>
      <c r="AB562" s="33"/>
      <c r="AC562" s="83"/>
      <c r="AD562" s="33"/>
      <c r="AE562" s="83"/>
      <c r="AF562" s="33"/>
      <c r="AG562" s="244"/>
      <c r="AH562" s="83"/>
      <c r="AI562" s="246"/>
      <c r="AJ562" s="102"/>
      <c r="AK562" s="92"/>
      <c r="AL562" s="91"/>
      <c r="AM562" s="92"/>
      <c r="AN562" s="351"/>
      <c r="AO562" s="197">
        <f t="shared" si="35"/>
        <v>0</v>
      </c>
      <c r="AP562" s="91"/>
      <c r="AQ562" s="217"/>
      <c r="AR562" s="103"/>
      <c r="AS562" s="264"/>
      <c r="AT562" s="94"/>
      <c r="AU562" s="84"/>
      <c r="AV562" s="136"/>
      <c r="AW562" s="77"/>
      <c r="AX562" s="137"/>
      <c r="AY562" s="138"/>
      <c r="AZ562" s="220">
        <f t="shared" si="32"/>
        <v>0</v>
      </c>
      <c r="BA562" s="220">
        <f t="shared" si="33"/>
        <v>0</v>
      </c>
    </row>
    <row r="563" spans="1:53" ht="50.1" customHeight="1" x14ac:dyDescent="0.25">
      <c r="A563" s="17">
        <f t="shared" si="34"/>
        <v>549</v>
      </c>
      <c r="B563" s="228"/>
      <c r="C563" s="221"/>
      <c r="D563" s="88"/>
      <c r="E563" s="100"/>
      <c r="F563" s="95"/>
      <c r="G563" s="114"/>
      <c r="H563" s="96"/>
      <c r="I563" s="97"/>
      <c r="J563" s="98"/>
      <c r="K563" s="101"/>
      <c r="L563" s="124"/>
      <c r="M563" s="333"/>
      <c r="N563" s="341"/>
      <c r="O563" s="82"/>
      <c r="P563" s="93"/>
      <c r="Q563" s="82"/>
      <c r="R563" s="93"/>
      <c r="S563" s="298"/>
      <c r="T563" s="304"/>
      <c r="U563" s="307"/>
      <c r="V563" s="309"/>
      <c r="W563" s="248"/>
      <c r="X563" s="342"/>
      <c r="Y563" s="336"/>
      <c r="Z563" s="123"/>
      <c r="AA563" s="33"/>
      <c r="AB563" s="123"/>
      <c r="AC563" s="33"/>
      <c r="AD563" s="123"/>
      <c r="AE563" s="33"/>
      <c r="AF563" s="123"/>
      <c r="AG563" s="243"/>
      <c r="AH563" s="33"/>
      <c r="AI563" s="245"/>
      <c r="AJ563" s="125"/>
      <c r="AK563" s="91"/>
      <c r="AL563" s="126"/>
      <c r="AM563" s="91"/>
      <c r="AN563" s="91"/>
      <c r="AO563" s="197">
        <f t="shared" si="35"/>
        <v>0</v>
      </c>
      <c r="AP563" s="126"/>
      <c r="AQ563" s="216"/>
      <c r="AR563" s="127"/>
      <c r="AS563" s="269"/>
      <c r="AT563" s="94"/>
      <c r="AU563" s="84"/>
      <c r="AV563" s="80"/>
      <c r="AW563" s="81"/>
      <c r="AX563" s="77"/>
      <c r="AY563" s="107"/>
      <c r="AZ563" s="220">
        <f t="shared" si="32"/>
        <v>0</v>
      </c>
      <c r="BA563" s="220">
        <f t="shared" si="33"/>
        <v>0</v>
      </c>
    </row>
    <row r="564" spans="1:53" ht="50.1" customHeight="1" x14ac:dyDescent="0.25">
      <c r="A564" s="17">
        <f t="shared" si="34"/>
        <v>550</v>
      </c>
      <c r="B564" s="229"/>
      <c r="C564" s="222"/>
      <c r="D564" s="112"/>
      <c r="E564" s="128"/>
      <c r="F564" s="129"/>
      <c r="G564" s="130"/>
      <c r="H564" s="131"/>
      <c r="I564" s="132"/>
      <c r="J564" s="108"/>
      <c r="K564" s="133"/>
      <c r="L564" s="134"/>
      <c r="M564" s="334"/>
      <c r="N564" s="343"/>
      <c r="O564" s="135"/>
      <c r="P564" s="82"/>
      <c r="Q564" s="135"/>
      <c r="R564" s="82"/>
      <c r="S564" s="299"/>
      <c r="T564" s="305"/>
      <c r="U564" s="298"/>
      <c r="V564" s="304"/>
      <c r="W564" s="249"/>
      <c r="X564" s="344"/>
      <c r="Y564" s="337"/>
      <c r="Z564" s="33"/>
      <c r="AA564" s="83"/>
      <c r="AB564" s="33"/>
      <c r="AC564" s="83"/>
      <c r="AD564" s="33"/>
      <c r="AE564" s="83"/>
      <c r="AF564" s="33"/>
      <c r="AG564" s="244"/>
      <c r="AH564" s="83"/>
      <c r="AI564" s="246"/>
      <c r="AJ564" s="102"/>
      <c r="AK564" s="92"/>
      <c r="AL564" s="91"/>
      <c r="AM564" s="92"/>
      <c r="AN564" s="351"/>
      <c r="AO564" s="197">
        <f t="shared" si="35"/>
        <v>0</v>
      </c>
      <c r="AP564" s="91"/>
      <c r="AQ564" s="217"/>
      <c r="AR564" s="103"/>
      <c r="AS564" s="264"/>
      <c r="AT564" s="94"/>
      <c r="AU564" s="84"/>
      <c r="AV564" s="136"/>
      <c r="AW564" s="77"/>
      <c r="AX564" s="137"/>
      <c r="AY564" s="138"/>
      <c r="AZ564" s="220">
        <f t="shared" si="32"/>
        <v>0</v>
      </c>
      <c r="BA564" s="220">
        <f t="shared" si="33"/>
        <v>0</v>
      </c>
    </row>
    <row r="565" spans="1:53" ht="50.1" customHeight="1" x14ac:dyDescent="0.25">
      <c r="A565" s="17">
        <f t="shared" si="34"/>
        <v>551</v>
      </c>
      <c r="B565" s="228"/>
      <c r="C565" s="221"/>
      <c r="D565" s="88"/>
      <c r="E565" s="100"/>
      <c r="F565" s="95"/>
      <c r="G565" s="114"/>
      <c r="H565" s="96"/>
      <c r="I565" s="97"/>
      <c r="J565" s="98"/>
      <c r="K565" s="101"/>
      <c r="L565" s="124"/>
      <c r="M565" s="333"/>
      <c r="N565" s="341"/>
      <c r="O565" s="82"/>
      <c r="P565" s="93"/>
      <c r="Q565" s="82"/>
      <c r="R565" s="93"/>
      <c r="S565" s="298"/>
      <c r="T565" s="304"/>
      <c r="U565" s="307"/>
      <c r="V565" s="309"/>
      <c r="W565" s="248"/>
      <c r="X565" s="342"/>
      <c r="Y565" s="336"/>
      <c r="Z565" s="123"/>
      <c r="AA565" s="33"/>
      <c r="AB565" s="123"/>
      <c r="AC565" s="33"/>
      <c r="AD565" s="123"/>
      <c r="AE565" s="33"/>
      <c r="AF565" s="123"/>
      <c r="AG565" s="243"/>
      <c r="AH565" s="33"/>
      <c r="AI565" s="245"/>
      <c r="AJ565" s="125"/>
      <c r="AK565" s="91"/>
      <c r="AL565" s="126"/>
      <c r="AM565" s="91"/>
      <c r="AN565" s="91"/>
      <c r="AO565" s="197">
        <f t="shared" si="35"/>
        <v>0</v>
      </c>
      <c r="AP565" s="126"/>
      <c r="AQ565" s="216"/>
      <c r="AR565" s="127"/>
      <c r="AS565" s="269"/>
      <c r="AT565" s="94"/>
      <c r="AU565" s="84"/>
      <c r="AV565" s="80"/>
      <c r="AW565" s="81"/>
      <c r="AX565" s="77"/>
      <c r="AY565" s="107"/>
      <c r="AZ565" s="220">
        <f t="shared" si="32"/>
        <v>0</v>
      </c>
      <c r="BA565" s="220">
        <f t="shared" si="33"/>
        <v>0</v>
      </c>
    </row>
    <row r="566" spans="1:53" ht="50.1" customHeight="1" x14ac:dyDescent="0.25">
      <c r="A566" s="17">
        <f t="shared" si="34"/>
        <v>552</v>
      </c>
      <c r="B566" s="229"/>
      <c r="C566" s="222"/>
      <c r="D566" s="112"/>
      <c r="E566" s="128"/>
      <c r="F566" s="129"/>
      <c r="G566" s="130"/>
      <c r="H566" s="131"/>
      <c r="I566" s="132"/>
      <c r="J566" s="108"/>
      <c r="K566" s="133"/>
      <c r="L566" s="134"/>
      <c r="M566" s="334"/>
      <c r="N566" s="343"/>
      <c r="O566" s="135"/>
      <c r="P566" s="82"/>
      <c r="Q566" s="135"/>
      <c r="R566" s="82"/>
      <c r="S566" s="299"/>
      <c r="T566" s="305"/>
      <c r="U566" s="298"/>
      <c r="V566" s="304"/>
      <c r="W566" s="249"/>
      <c r="X566" s="344"/>
      <c r="Y566" s="337"/>
      <c r="Z566" s="33"/>
      <c r="AA566" s="83"/>
      <c r="AB566" s="33"/>
      <c r="AC566" s="83"/>
      <c r="AD566" s="33"/>
      <c r="AE566" s="83"/>
      <c r="AF566" s="33"/>
      <c r="AG566" s="244"/>
      <c r="AH566" s="83"/>
      <c r="AI566" s="246"/>
      <c r="AJ566" s="102"/>
      <c r="AK566" s="92"/>
      <c r="AL566" s="91"/>
      <c r="AM566" s="92"/>
      <c r="AN566" s="351"/>
      <c r="AO566" s="197">
        <f t="shared" si="35"/>
        <v>0</v>
      </c>
      <c r="AP566" s="91"/>
      <c r="AQ566" s="217"/>
      <c r="AR566" s="103"/>
      <c r="AS566" s="264"/>
      <c r="AT566" s="94"/>
      <c r="AU566" s="84"/>
      <c r="AV566" s="136"/>
      <c r="AW566" s="77"/>
      <c r="AX566" s="137"/>
      <c r="AY566" s="138"/>
      <c r="AZ566" s="220">
        <f t="shared" si="32"/>
        <v>0</v>
      </c>
      <c r="BA566" s="220">
        <f t="shared" si="33"/>
        <v>0</v>
      </c>
    </row>
    <row r="567" spans="1:53" ht="50.1" customHeight="1" x14ac:dyDescent="0.25">
      <c r="A567" s="17">
        <f t="shared" si="34"/>
        <v>553</v>
      </c>
      <c r="B567" s="228"/>
      <c r="C567" s="221"/>
      <c r="D567" s="88"/>
      <c r="E567" s="100"/>
      <c r="F567" s="95"/>
      <c r="G567" s="114"/>
      <c r="H567" s="96"/>
      <c r="I567" s="97"/>
      <c r="J567" s="98"/>
      <c r="K567" s="101"/>
      <c r="L567" s="124"/>
      <c r="M567" s="333"/>
      <c r="N567" s="341"/>
      <c r="O567" s="82"/>
      <c r="P567" s="93"/>
      <c r="Q567" s="82"/>
      <c r="R567" s="93"/>
      <c r="S567" s="298"/>
      <c r="T567" s="304"/>
      <c r="U567" s="307"/>
      <c r="V567" s="309"/>
      <c r="W567" s="248"/>
      <c r="X567" s="342"/>
      <c r="Y567" s="336"/>
      <c r="Z567" s="123"/>
      <c r="AA567" s="33"/>
      <c r="AB567" s="123"/>
      <c r="AC567" s="33"/>
      <c r="AD567" s="123"/>
      <c r="AE567" s="33"/>
      <c r="AF567" s="123"/>
      <c r="AG567" s="243"/>
      <c r="AH567" s="33"/>
      <c r="AI567" s="245"/>
      <c r="AJ567" s="125"/>
      <c r="AK567" s="91"/>
      <c r="AL567" s="126"/>
      <c r="AM567" s="91"/>
      <c r="AN567" s="91"/>
      <c r="AO567" s="197">
        <f t="shared" si="35"/>
        <v>0</v>
      </c>
      <c r="AP567" s="126"/>
      <c r="AQ567" s="216"/>
      <c r="AR567" s="127"/>
      <c r="AS567" s="269"/>
      <c r="AT567" s="94"/>
      <c r="AU567" s="84"/>
      <c r="AV567" s="80"/>
      <c r="AW567" s="81"/>
      <c r="AX567" s="77"/>
      <c r="AY567" s="107"/>
      <c r="AZ567" s="220">
        <f t="shared" si="32"/>
        <v>0</v>
      </c>
      <c r="BA567" s="220">
        <f t="shared" si="33"/>
        <v>0</v>
      </c>
    </row>
    <row r="568" spans="1:53" ht="50.1" customHeight="1" x14ac:dyDescent="0.25">
      <c r="A568" s="17">
        <f t="shared" si="34"/>
        <v>554</v>
      </c>
      <c r="B568" s="229"/>
      <c r="C568" s="222"/>
      <c r="D568" s="112"/>
      <c r="E568" s="128"/>
      <c r="F568" s="129"/>
      <c r="G568" s="130"/>
      <c r="H568" s="131"/>
      <c r="I568" s="132"/>
      <c r="J568" s="108"/>
      <c r="K568" s="133"/>
      <c r="L568" s="134"/>
      <c r="M568" s="334"/>
      <c r="N568" s="343"/>
      <c r="O568" s="135"/>
      <c r="P568" s="82"/>
      <c r="Q568" s="135"/>
      <c r="R568" s="82"/>
      <c r="S568" s="299"/>
      <c r="T568" s="305"/>
      <c r="U568" s="298"/>
      <c r="V568" s="304"/>
      <c r="W568" s="249"/>
      <c r="X568" s="344"/>
      <c r="Y568" s="337"/>
      <c r="Z568" s="33"/>
      <c r="AA568" s="83"/>
      <c r="AB568" s="33"/>
      <c r="AC568" s="83"/>
      <c r="AD568" s="33"/>
      <c r="AE568" s="83"/>
      <c r="AF568" s="33"/>
      <c r="AG568" s="244"/>
      <c r="AH568" s="83"/>
      <c r="AI568" s="246"/>
      <c r="AJ568" s="102"/>
      <c r="AK568" s="92"/>
      <c r="AL568" s="91"/>
      <c r="AM568" s="92"/>
      <c r="AN568" s="351"/>
      <c r="AO568" s="197">
        <f t="shared" si="35"/>
        <v>0</v>
      </c>
      <c r="AP568" s="91"/>
      <c r="AQ568" s="217"/>
      <c r="AR568" s="103"/>
      <c r="AS568" s="264"/>
      <c r="AT568" s="94"/>
      <c r="AU568" s="84"/>
      <c r="AV568" s="136"/>
      <c r="AW568" s="77"/>
      <c r="AX568" s="137"/>
      <c r="AY568" s="138"/>
      <c r="AZ568" s="220">
        <f t="shared" si="32"/>
        <v>0</v>
      </c>
      <c r="BA568" s="220">
        <f t="shared" si="33"/>
        <v>0</v>
      </c>
    </row>
    <row r="569" spans="1:53" ht="50.1" customHeight="1" x14ac:dyDescent="0.25">
      <c r="A569" s="17">
        <f t="shared" si="34"/>
        <v>555</v>
      </c>
      <c r="B569" s="228"/>
      <c r="C569" s="221"/>
      <c r="D569" s="88"/>
      <c r="E569" s="100"/>
      <c r="F569" s="95"/>
      <c r="G569" s="114"/>
      <c r="H569" s="96"/>
      <c r="I569" s="97"/>
      <c r="J569" s="98"/>
      <c r="K569" s="101"/>
      <c r="L569" s="124"/>
      <c r="M569" s="333"/>
      <c r="N569" s="341"/>
      <c r="O569" s="82"/>
      <c r="P569" s="93"/>
      <c r="Q569" s="82"/>
      <c r="R569" s="93"/>
      <c r="S569" s="298"/>
      <c r="T569" s="304"/>
      <c r="U569" s="307"/>
      <c r="V569" s="309"/>
      <c r="W569" s="248"/>
      <c r="X569" s="342"/>
      <c r="Y569" s="336"/>
      <c r="Z569" s="123"/>
      <c r="AA569" s="33"/>
      <c r="AB569" s="123"/>
      <c r="AC569" s="33"/>
      <c r="AD569" s="123"/>
      <c r="AE569" s="33"/>
      <c r="AF569" s="123"/>
      <c r="AG569" s="243"/>
      <c r="AH569" s="33"/>
      <c r="AI569" s="245"/>
      <c r="AJ569" s="125"/>
      <c r="AK569" s="91"/>
      <c r="AL569" s="126"/>
      <c r="AM569" s="91"/>
      <c r="AN569" s="91"/>
      <c r="AO569" s="197">
        <f t="shared" si="35"/>
        <v>0</v>
      </c>
      <c r="AP569" s="126"/>
      <c r="AQ569" s="216"/>
      <c r="AR569" s="127"/>
      <c r="AS569" s="269"/>
      <c r="AT569" s="94"/>
      <c r="AU569" s="84"/>
      <c r="AV569" s="80"/>
      <c r="AW569" s="81"/>
      <c r="AX569" s="77"/>
      <c r="AY569" s="107"/>
      <c r="AZ569" s="220">
        <f t="shared" si="32"/>
        <v>0</v>
      </c>
      <c r="BA569" s="220">
        <f t="shared" si="33"/>
        <v>0</v>
      </c>
    </row>
    <row r="570" spans="1:53" ht="50.1" customHeight="1" x14ac:dyDescent="0.25">
      <c r="A570" s="17">
        <f t="shared" si="34"/>
        <v>556</v>
      </c>
      <c r="B570" s="229"/>
      <c r="C570" s="222"/>
      <c r="D570" s="112"/>
      <c r="E570" s="128"/>
      <c r="F570" s="129"/>
      <c r="G570" s="130"/>
      <c r="H570" s="131"/>
      <c r="I570" s="132"/>
      <c r="J570" s="108"/>
      <c r="K570" s="133"/>
      <c r="L570" s="134"/>
      <c r="M570" s="334"/>
      <c r="N570" s="343"/>
      <c r="O570" s="135"/>
      <c r="P570" s="82"/>
      <c r="Q570" s="135"/>
      <c r="R570" s="82"/>
      <c r="S570" s="299"/>
      <c r="T570" s="305"/>
      <c r="U570" s="298"/>
      <c r="V570" s="304"/>
      <c r="W570" s="249"/>
      <c r="X570" s="344"/>
      <c r="Y570" s="337"/>
      <c r="Z570" s="33"/>
      <c r="AA570" s="83"/>
      <c r="AB570" s="33"/>
      <c r="AC570" s="83"/>
      <c r="AD570" s="33"/>
      <c r="AE570" s="83"/>
      <c r="AF570" s="33"/>
      <c r="AG570" s="244"/>
      <c r="AH570" s="83"/>
      <c r="AI570" s="246"/>
      <c r="AJ570" s="102"/>
      <c r="AK570" s="92"/>
      <c r="AL570" s="91"/>
      <c r="AM570" s="92"/>
      <c r="AN570" s="351"/>
      <c r="AO570" s="197">
        <f t="shared" si="35"/>
        <v>0</v>
      </c>
      <c r="AP570" s="91"/>
      <c r="AQ570" s="217"/>
      <c r="AR570" s="103"/>
      <c r="AS570" s="264"/>
      <c r="AT570" s="94"/>
      <c r="AU570" s="84"/>
      <c r="AV570" s="136"/>
      <c r="AW570" s="77"/>
      <c r="AX570" s="137"/>
      <c r="AY570" s="138"/>
      <c r="AZ570" s="220">
        <f t="shared" si="32"/>
        <v>0</v>
      </c>
      <c r="BA570" s="220">
        <f t="shared" si="33"/>
        <v>0</v>
      </c>
    </row>
    <row r="571" spans="1:53" ht="50.1" customHeight="1" x14ac:dyDescent="0.25">
      <c r="A571" s="17">
        <f t="shared" si="34"/>
        <v>557</v>
      </c>
      <c r="B571" s="228"/>
      <c r="C571" s="221"/>
      <c r="D571" s="88"/>
      <c r="E571" s="100"/>
      <c r="F571" s="95"/>
      <c r="G571" s="114"/>
      <c r="H571" s="96"/>
      <c r="I571" s="97"/>
      <c r="J571" s="98"/>
      <c r="K571" s="101"/>
      <c r="L571" s="124"/>
      <c r="M571" s="333"/>
      <c r="N571" s="341"/>
      <c r="O571" s="82"/>
      <c r="P571" s="93"/>
      <c r="Q571" s="82"/>
      <c r="R571" s="93"/>
      <c r="S571" s="298"/>
      <c r="T571" s="304"/>
      <c r="U571" s="307"/>
      <c r="V571" s="309"/>
      <c r="W571" s="248"/>
      <c r="X571" s="342"/>
      <c r="Y571" s="336"/>
      <c r="Z571" s="123"/>
      <c r="AA571" s="33"/>
      <c r="AB571" s="123"/>
      <c r="AC571" s="33"/>
      <c r="AD571" s="123"/>
      <c r="AE571" s="33"/>
      <c r="AF571" s="123"/>
      <c r="AG571" s="243"/>
      <c r="AH571" s="33"/>
      <c r="AI571" s="245"/>
      <c r="AJ571" s="125"/>
      <c r="AK571" s="91"/>
      <c r="AL571" s="126"/>
      <c r="AM571" s="91"/>
      <c r="AN571" s="91"/>
      <c r="AO571" s="197">
        <f t="shared" si="35"/>
        <v>0</v>
      </c>
      <c r="AP571" s="126"/>
      <c r="AQ571" s="216"/>
      <c r="AR571" s="127"/>
      <c r="AS571" s="269"/>
      <c r="AT571" s="94"/>
      <c r="AU571" s="84"/>
      <c r="AV571" s="80"/>
      <c r="AW571" s="81"/>
      <c r="AX571" s="77"/>
      <c r="AY571" s="107"/>
      <c r="AZ571" s="220">
        <f t="shared" si="32"/>
        <v>0</v>
      </c>
      <c r="BA571" s="220">
        <f t="shared" si="33"/>
        <v>0</v>
      </c>
    </row>
    <row r="572" spans="1:53" ht="50.1" customHeight="1" x14ac:dyDescent="0.25">
      <c r="A572" s="17">
        <f t="shared" si="34"/>
        <v>558</v>
      </c>
      <c r="B572" s="229"/>
      <c r="C572" s="222"/>
      <c r="D572" s="112"/>
      <c r="E572" s="128"/>
      <c r="F572" s="129"/>
      <c r="G572" s="130"/>
      <c r="H572" s="131"/>
      <c r="I572" s="132"/>
      <c r="J572" s="108"/>
      <c r="K572" s="133"/>
      <c r="L572" s="134"/>
      <c r="M572" s="334"/>
      <c r="N572" s="343"/>
      <c r="O572" s="135"/>
      <c r="P572" s="82"/>
      <c r="Q572" s="135"/>
      <c r="R572" s="82"/>
      <c r="S572" s="299"/>
      <c r="T572" s="305"/>
      <c r="U572" s="298"/>
      <c r="V572" s="304"/>
      <c r="W572" s="249"/>
      <c r="X572" s="344"/>
      <c r="Y572" s="337"/>
      <c r="Z572" s="33"/>
      <c r="AA572" s="83"/>
      <c r="AB572" s="33"/>
      <c r="AC572" s="83"/>
      <c r="AD572" s="33"/>
      <c r="AE572" s="83"/>
      <c r="AF572" s="33"/>
      <c r="AG572" s="244"/>
      <c r="AH572" s="83"/>
      <c r="AI572" s="246"/>
      <c r="AJ572" s="102"/>
      <c r="AK572" s="92"/>
      <c r="AL572" s="91"/>
      <c r="AM572" s="92"/>
      <c r="AN572" s="351"/>
      <c r="AO572" s="197">
        <f t="shared" si="35"/>
        <v>0</v>
      </c>
      <c r="AP572" s="91"/>
      <c r="AQ572" s="217"/>
      <c r="AR572" s="103"/>
      <c r="AS572" s="264"/>
      <c r="AT572" s="94"/>
      <c r="AU572" s="84"/>
      <c r="AV572" s="136"/>
      <c r="AW572" s="77"/>
      <c r="AX572" s="137"/>
      <c r="AY572" s="138"/>
      <c r="AZ572" s="220">
        <f t="shared" si="32"/>
        <v>0</v>
      </c>
      <c r="BA572" s="220">
        <f t="shared" si="33"/>
        <v>0</v>
      </c>
    </row>
    <row r="573" spans="1:53" ht="50.1" customHeight="1" x14ac:dyDescent="0.25">
      <c r="A573" s="17">
        <f t="shared" si="34"/>
        <v>559</v>
      </c>
      <c r="B573" s="228"/>
      <c r="C573" s="221"/>
      <c r="D573" s="88"/>
      <c r="E573" s="100"/>
      <c r="F573" s="95"/>
      <c r="G573" s="114"/>
      <c r="H573" s="96"/>
      <c r="I573" s="97"/>
      <c r="J573" s="98"/>
      <c r="K573" s="101"/>
      <c r="L573" s="124"/>
      <c r="M573" s="333"/>
      <c r="N573" s="341"/>
      <c r="O573" s="82"/>
      <c r="P573" s="93"/>
      <c r="Q573" s="82"/>
      <c r="R573" s="93"/>
      <c r="S573" s="298"/>
      <c r="T573" s="304"/>
      <c r="U573" s="307"/>
      <c r="V573" s="309"/>
      <c r="W573" s="248"/>
      <c r="X573" s="342"/>
      <c r="Y573" s="336"/>
      <c r="Z573" s="123"/>
      <c r="AA573" s="33"/>
      <c r="AB573" s="123"/>
      <c r="AC573" s="33"/>
      <c r="AD573" s="123"/>
      <c r="AE573" s="33"/>
      <c r="AF573" s="123"/>
      <c r="AG573" s="243"/>
      <c r="AH573" s="33"/>
      <c r="AI573" s="245"/>
      <c r="AJ573" s="125"/>
      <c r="AK573" s="91"/>
      <c r="AL573" s="126"/>
      <c r="AM573" s="91"/>
      <c r="AN573" s="91"/>
      <c r="AO573" s="197">
        <f t="shared" si="35"/>
        <v>0</v>
      </c>
      <c r="AP573" s="126"/>
      <c r="AQ573" s="216"/>
      <c r="AR573" s="127"/>
      <c r="AS573" s="269"/>
      <c r="AT573" s="94"/>
      <c r="AU573" s="84"/>
      <c r="AV573" s="80"/>
      <c r="AW573" s="81"/>
      <c r="AX573" s="77"/>
      <c r="AY573" s="107"/>
      <c r="AZ573" s="220">
        <f t="shared" si="32"/>
        <v>0</v>
      </c>
      <c r="BA573" s="220">
        <f t="shared" si="33"/>
        <v>0</v>
      </c>
    </row>
    <row r="574" spans="1:53" ht="50.1" customHeight="1" x14ac:dyDescent="0.25">
      <c r="A574" s="17">
        <f t="shared" si="34"/>
        <v>560</v>
      </c>
      <c r="B574" s="229"/>
      <c r="C574" s="222"/>
      <c r="D574" s="112"/>
      <c r="E574" s="128"/>
      <c r="F574" s="129"/>
      <c r="G574" s="130"/>
      <c r="H574" s="131"/>
      <c r="I574" s="132"/>
      <c r="J574" s="108"/>
      <c r="K574" s="133"/>
      <c r="L574" s="134"/>
      <c r="M574" s="334"/>
      <c r="N574" s="343"/>
      <c r="O574" s="135"/>
      <c r="P574" s="82"/>
      <c r="Q574" s="135"/>
      <c r="R574" s="82"/>
      <c r="S574" s="299"/>
      <c r="T574" s="305"/>
      <c r="U574" s="298"/>
      <c r="V574" s="304"/>
      <c r="W574" s="249"/>
      <c r="X574" s="344"/>
      <c r="Y574" s="337"/>
      <c r="Z574" s="33"/>
      <c r="AA574" s="83"/>
      <c r="AB574" s="33"/>
      <c r="AC574" s="83"/>
      <c r="AD574" s="33"/>
      <c r="AE574" s="83"/>
      <c r="AF574" s="33"/>
      <c r="AG574" s="244"/>
      <c r="AH574" s="83"/>
      <c r="AI574" s="246"/>
      <c r="AJ574" s="102"/>
      <c r="AK574" s="92"/>
      <c r="AL574" s="91"/>
      <c r="AM574" s="92"/>
      <c r="AN574" s="351"/>
      <c r="AO574" s="197">
        <f t="shared" si="35"/>
        <v>0</v>
      </c>
      <c r="AP574" s="91"/>
      <c r="AQ574" s="217"/>
      <c r="AR574" s="103"/>
      <c r="AS574" s="264"/>
      <c r="AT574" s="94"/>
      <c r="AU574" s="84"/>
      <c r="AV574" s="136"/>
      <c r="AW574" s="77"/>
      <c r="AX574" s="137"/>
      <c r="AY574" s="138"/>
      <c r="AZ574" s="220">
        <f t="shared" si="32"/>
        <v>0</v>
      </c>
      <c r="BA574" s="220">
        <f t="shared" si="33"/>
        <v>0</v>
      </c>
    </row>
    <row r="575" spans="1:53" ht="50.1" customHeight="1" x14ac:dyDescent="0.25">
      <c r="A575" s="17">
        <f t="shared" si="34"/>
        <v>561</v>
      </c>
      <c r="B575" s="228"/>
      <c r="C575" s="221"/>
      <c r="D575" s="88"/>
      <c r="E575" s="100"/>
      <c r="F575" s="95"/>
      <c r="G575" s="114"/>
      <c r="H575" s="96"/>
      <c r="I575" s="97"/>
      <c r="J575" s="98"/>
      <c r="K575" s="101"/>
      <c r="L575" s="124"/>
      <c r="M575" s="333"/>
      <c r="N575" s="341"/>
      <c r="O575" s="82"/>
      <c r="P575" s="93"/>
      <c r="Q575" s="82"/>
      <c r="R575" s="93"/>
      <c r="S575" s="298"/>
      <c r="T575" s="304"/>
      <c r="U575" s="307"/>
      <c r="V575" s="309"/>
      <c r="W575" s="248"/>
      <c r="X575" s="342"/>
      <c r="Y575" s="336"/>
      <c r="Z575" s="123"/>
      <c r="AA575" s="33"/>
      <c r="AB575" s="123"/>
      <c r="AC575" s="33"/>
      <c r="AD575" s="123"/>
      <c r="AE575" s="33"/>
      <c r="AF575" s="123"/>
      <c r="AG575" s="243"/>
      <c r="AH575" s="33"/>
      <c r="AI575" s="245"/>
      <c r="AJ575" s="125"/>
      <c r="AK575" s="91"/>
      <c r="AL575" s="126"/>
      <c r="AM575" s="91"/>
      <c r="AN575" s="91"/>
      <c r="AO575" s="197">
        <f t="shared" si="35"/>
        <v>0</v>
      </c>
      <c r="AP575" s="126"/>
      <c r="AQ575" s="216"/>
      <c r="AR575" s="127"/>
      <c r="AS575" s="269"/>
      <c r="AT575" s="94"/>
      <c r="AU575" s="84"/>
      <c r="AV575" s="80"/>
      <c r="AW575" s="81"/>
      <c r="AX575" s="77"/>
      <c r="AY575" s="107"/>
      <c r="AZ575" s="220">
        <f t="shared" si="32"/>
        <v>0</v>
      </c>
      <c r="BA575" s="220">
        <f t="shared" si="33"/>
        <v>0</v>
      </c>
    </row>
    <row r="576" spans="1:53" ht="50.1" customHeight="1" x14ac:dyDescent="0.25">
      <c r="A576" s="17">
        <f t="shared" si="34"/>
        <v>562</v>
      </c>
      <c r="B576" s="229"/>
      <c r="C576" s="222"/>
      <c r="D576" s="112"/>
      <c r="E576" s="128"/>
      <c r="F576" s="129"/>
      <c r="G576" s="130"/>
      <c r="H576" s="131"/>
      <c r="I576" s="132"/>
      <c r="J576" s="108"/>
      <c r="K576" s="133"/>
      <c r="L576" s="134"/>
      <c r="M576" s="334"/>
      <c r="N576" s="343"/>
      <c r="O576" s="135"/>
      <c r="P576" s="82"/>
      <c r="Q576" s="135"/>
      <c r="R576" s="82"/>
      <c r="S576" s="299"/>
      <c r="T576" s="305"/>
      <c r="U576" s="298"/>
      <c r="V576" s="304"/>
      <c r="W576" s="249"/>
      <c r="X576" s="344"/>
      <c r="Y576" s="337"/>
      <c r="Z576" s="33"/>
      <c r="AA576" s="83"/>
      <c r="AB576" s="33"/>
      <c r="AC576" s="83"/>
      <c r="AD576" s="33"/>
      <c r="AE576" s="83"/>
      <c r="AF576" s="33"/>
      <c r="AG576" s="244"/>
      <c r="AH576" s="83"/>
      <c r="AI576" s="246"/>
      <c r="AJ576" s="102"/>
      <c r="AK576" s="92"/>
      <c r="AL576" s="91"/>
      <c r="AM576" s="92"/>
      <c r="AN576" s="351"/>
      <c r="AO576" s="197">
        <f t="shared" si="35"/>
        <v>0</v>
      </c>
      <c r="AP576" s="91"/>
      <c r="AQ576" s="217"/>
      <c r="AR576" s="103"/>
      <c r="AS576" s="264"/>
      <c r="AT576" s="94"/>
      <c r="AU576" s="84"/>
      <c r="AV576" s="136"/>
      <c r="AW576" s="77"/>
      <c r="AX576" s="137"/>
      <c r="AY576" s="138"/>
      <c r="AZ576" s="220">
        <f t="shared" si="32"/>
        <v>0</v>
      </c>
      <c r="BA576" s="220">
        <f t="shared" si="33"/>
        <v>0</v>
      </c>
    </row>
    <row r="577" spans="1:53" ht="50.1" customHeight="1" x14ac:dyDescent="0.25">
      <c r="A577" s="17">
        <f t="shared" si="34"/>
        <v>563</v>
      </c>
      <c r="B577" s="228"/>
      <c r="C577" s="221"/>
      <c r="D577" s="88"/>
      <c r="E577" s="100"/>
      <c r="F577" s="95"/>
      <c r="G577" s="114"/>
      <c r="H577" s="96"/>
      <c r="I577" s="97"/>
      <c r="J577" s="98"/>
      <c r="K577" s="101"/>
      <c r="L577" s="124"/>
      <c r="M577" s="333"/>
      <c r="N577" s="341"/>
      <c r="O577" s="82"/>
      <c r="P577" s="93"/>
      <c r="Q577" s="82"/>
      <c r="R577" s="93"/>
      <c r="S577" s="298"/>
      <c r="T577" s="304"/>
      <c r="U577" s="307"/>
      <c r="V577" s="309"/>
      <c r="W577" s="248"/>
      <c r="X577" s="342"/>
      <c r="Y577" s="336"/>
      <c r="Z577" s="123"/>
      <c r="AA577" s="33"/>
      <c r="AB577" s="123"/>
      <c r="AC577" s="33"/>
      <c r="AD577" s="123"/>
      <c r="AE577" s="33"/>
      <c r="AF577" s="123"/>
      <c r="AG577" s="243"/>
      <c r="AH577" s="33"/>
      <c r="AI577" s="245"/>
      <c r="AJ577" s="125"/>
      <c r="AK577" s="91"/>
      <c r="AL577" s="126"/>
      <c r="AM577" s="91"/>
      <c r="AN577" s="91"/>
      <c r="AO577" s="197">
        <f t="shared" si="35"/>
        <v>0</v>
      </c>
      <c r="AP577" s="126"/>
      <c r="AQ577" s="216"/>
      <c r="AR577" s="127"/>
      <c r="AS577" s="269"/>
      <c r="AT577" s="94"/>
      <c r="AU577" s="84"/>
      <c r="AV577" s="80"/>
      <c r="AW577" s="81"/>
      <c r="AX577" s="77"/>
      <c r="AY577" s="107"/>
      <c r="AZ577" s="220">
        <f t="shared" si="32"/>
        <v>0</v>
      </c>
      <c r="BA577" s="220">
        <f t="shared" si="33"/>
        <v>0</v>
      </c>
    </row>
    <row r="578" spans="1:53" ht="50.1" customHeight="1" x14ac:dyDescent="0.25">
      <c r="A578" s="17">
        <f t="shared" si="34"/>
        <v>564</v>
      </c>
      <c r="B578" s="229"/>
      <c r="C578" s="222"/>
      <c r="D578" s="112"/>
      <c r="E578" s="128"/>
      <c r="F578" s="129"/>
      <c r="G578" s="130"/>
      <c r="H578" s="131"/>
      <c r="I578" s="132"/>
      <c r="J578" s="108"/>
      <c r="K578" s="133"/>
      <c r="L578" s="134"/>
      <c r="M578" s="334"/>
      <c r="N578" s="343"/>
      <c r="O578" s="135"/>
      <c r="P578" s="82"/>
      <c r="Q578" s="135"/>
      <c r="R578" s="82"/>
      <c r="S578" s="299"/>
      <c r="T578" s="305"/>
      <c r="U578" s="298"/>
      <c r="V578" s="304"/>
      <c r="W578" s="249"/>
      <c r="X578" s="344"/>
      <c r="Y578" s="337"/>
      <c r="Z578" s="33"/>
      <c r="AA578" s="83"/>
      <c r="AB578" s="33"/>
      <c r="AC578" s="83"/>
      <c r="AD578" s="33"/>
      <c r="AE578" s="83"/>
      <c r="AF578" s="33"/>
      <c r="AG578" s="244"/>
      <c r="AH578" s="83"/>
      <c r="AI578" s="246"/>
      <c r="AJ578" s="102"/>
      <c r="AK578" s="92"/>
      <c r="AL578" s="91"/>
      <c r="AM578" s="92"/>
      <c r="AN578" s="351"/>
      <c r="AO578" s="197">
        <f t="shared" si="35"/>
        <v>0</v>
      </c>
      <c r="AP578" s="91"/>
      <c r="AQ578" s="217"/>
      <c r="AR578" s="103"/>
      <c r="AS578" s="264"/>
      <c r="AT578" s="94"/>
      <c r="AU578" s="84"/>
      <c r="AV578" s="136"/>
      <c r="AW578" s="77"/>
      <c r="AX578" s="137"/>
      <c r="AY578" s="138"/>
      <c r="AZ578" s="220">
        <f t="shared" si="32"/>
        <v>0</v>
      </c>
      <c r="BA578" s="220">
        <f t="shared" si="33"/>
        <v>0</v>
      </c>
    </row>
    <row r="579" spans="1:53" ht="50.1" customHeight="1" x14ac:dyDescent="0.25">
      <c r="A579" s="17">
        <f t="shared" si="34"/>
        <v>565</v>
      </c>
      <c r="B579" s="228"/>
      <c r="C579" s="221"/>
      <c r="D579" s="88"/>
      <c r="E579" s="100"/>
      <c r="F579" s="95"/>
      <c r="G579" s="114"/>
      <c r="H579" s="96"/>
      <c r="I579" s="97"/>
      <c r="J579" s="98"/>
      <c r="K579" s="101"/>
      <c r="L579" s="124"/>
      <c r="M579" s="333"/>
      <c r="N579" s="341"/>
      <c r="O579" s="82"/>
      <c r="P579" s="93"/>
      <c r="Q579" s="82"/>
      <c r="R579" s="93"/>
      <c r="S579" s="298"/>
      <c r="T579" s="304"/>
      <c r="U579" s="307"/>
      <c r="V579" s="309"/>
      <c r="W579" s="248"/>
      <c r="X579" s="342"/>
      <c r="Y579" s="336"/>
      <c r="Z579" s="123"/>
      <c r="AA579" s="33"/>
      <c r="AB579" s="123"/>
      <c r="AC579" s="33"/>
      <c r="AD579" s="123"/>
      <c r="AE579" s="33"/>
      <c r="AF579" s="123"/>
      <c r="AG579" s="243"/>
      <c r="AH579" s="33"/>
      <c r="AI579" s="245"/>
      <c r="AJ579" s="125"/>
      <c r="AK579" s="91"/>
      <c r="AL579" s="126"/>
      <c r="AM579" s="91"/>
      <c r="AN579" s="91"/>
      <c r="AO579" s="197">
        <f t="shared" si="35"/>
        <v>0</v>
      </c>
      <c r="AP579" s="126"/>
      <c r="AQ579" s="216"/>
      <c r="AR579" s="127"/>
      <c r="AS579" s="269"/>
      <c r="AT579" s="94"/>
      <c r="AU579" s="84"/>
      <c r="AV579" s="80"/>
      <c r="AW579" s="81"/>
      <c r="AX579" s="77"/>
      <c r="AY579" s="107"/>
      <c r="AZ579" s="220">
        <f t="shared" si="32"/>
        <v>0</v>
      </c>
      <c r="BA579" s="220">
        <f t="shared" si="33"/>
        <v>0</v>
      </c>
    </row>
    <row r="580" spans="1:53" ht="50.1" customHeight="1" x14ac:dyDescent="0.25">
      <c r="A580" s="17">
        <f t="shared" si="34"/>
        <v>566</v>
      </c>
      <c r="B580" s="229"/>
      <c r="C580" s="222"/>
      <c r="D580" s="112"/>
      <c r="E580" s="128"/>
      <c r="F580" s="129"/>
      <c r="G580" s="130"/>
      <c r="H580" s="131"/>
      <c r="I580" s="132"/>
      <c r="J580" s="108"/>
      <c r="K580" s="133"/>
      <c r="L580" s="134"/>
      <c r="M580" s="334"/>
      <c r="N580" s="343"/>
      <c r="O580" s="135"/>
      <c r="P580" s="82"/>
      <c r="Q580" s="135"/>
      <c r="R580" s="82"/>
      <c r="S580" s="299"/>
      <c r="T580" s="305"/>
      <c r="U580" s="298"/>
      <c r="V580" s="304"/>
      <c r="W580" s="249"/>
      <c r="X580" s="344"/>
      <c r="Y580" s="337"/>
      <c r="Z580" s="33"/>
      <c r="AA580" s="83"/>
      <c r="AB580" s="33"/>
      <c r="AC580" s="83"/>
      <c r="AD580" s="33"/>
      <c r="AE580" s="83"/>
      <c r="AF580" s="33"/>
      <c r="AG580" s="244"/>
      <c r="AH580" s="83"/>
      <c r="AI580" s="246"/>
      <c r="AJ580" s="102"/>
      <c r="AK580" s="92"/>
      <c r="AL580" s="91"/>
      <c r="AM580" s="92"/>
      <c r="AN580" s="351"/>
      <c r="AO580" s="197">
        <f t="shared" si="35"/>
        <v>0</v>
      </c>
      <c r="AP580" s="91"/>
      <c r="AQ580" s="217"/>
      <c r="AR580" s="103"/>
      <c r="AS580" s="264"/>
      <c r="AT580" s="94"/>
      <c r="AU580" s="84"/>
      <c r="AV580" s="136"/>
      <c r="AW580" s="77"/>
      <c r="AX580" s="137"/>
      <c r="AY580" s="138"/>
      <c r="AZ580" s="220">
        <f t="shared" si="32"/>
        <v>0</v>
      </c>
      <c r="BA580" s="220">
        <f t="shared" si="33"/>
        <v>0</v>
      </c>
    </row>
    <row r="581" spans="1:53" ht="50.1" customHeight="1" x14ac:dyDescent="0.25">
      <c r="A581" s="17">
        <f t="shared" si="34"/>
        <v>567</v>
      </c>
      <c r="B581" s="228"/>
      <c r="C581" s="221"/>
      <c r="D581" s="88"/>
      <c r="E581" s="100"/>
      <c r="F581" s="95"/>
      <c r="G581" s="114"/>
      <c r="H581" s="96"/>
      <c r="I581" s="97"/>
      <c r="J581" s="98"/>
      <c r="K581" s="101"/>
      <c r="L581" s="124"/>
      <c r="M581" s="333"/>
      <c r="N581" s="341"/>
      <c r="O581" s="82"/>
      <c r="P581" s="93"/>
      <c r="Q581" s="82"/>
      <c r="R581" s="93"/>
      <c r="S581" s="298"/>
      <c r="T581" s="304"/>
      <c r="U581" s="307"/>
      <c r="V581" s="309"/>
      <c r="W581" s="248"/>
      <c r="X581" s="342"/>
      <c r="Y581" s="336"/>
      <c r="Z581" s="123"/>
      <c r="AA581" s="33"/>
      <c r="AB581" s="123"/>
      <c r="AC581" s="33"/>
      <c r="AD581" s="123"/>
      <c r="AE581" s="33"/>
      <c r="AF581" s="123"/>
      <c r="AG581" s="243"/>
      <c r="AH581" s="33"/>
      <c r="AI581" s="245"/>
      <c r="AJ581" s="125"/>
      <c r="AK581" s="91"/>
      <c r="AL581" s="126"/>
      <c r="AM581" s="91"/>
      <c r="AN581" s="91"/>
      <c r="AO581" s="197">
        <f t="shared" si="35"/>
        <v>0</v>
      </c>
      <c r="AP581" s="126"/>
      <c r="AQ581" s="216"/>
      <c r="AR581" s="127"/>
      <c r="AS581" s="269"/>
      <c r="AT581" s="94"/>
      <c r="AU581" s="84"/>
      <c r="AV581" s="80"/>
      <c r="AW581" s="81"/>
      <c r="AX581" s="77"/>
      <c r="AY581" s="107"/>
      <c r="AZ581" s="220">
        <f t="shared" si="32"/>
        <v>0</v>
      </c>
      <c r="BA581" s="220">
        <f t="shared" si="33"/>
        <v>0</v>
      </c>
    </row>
    <row r="582" spans="1:53" ht="50.1" customHeight="1" x14ac:dyDescent="0.25">
      <c r="A582" s="17">
        <f t="shared" si="34"/>
        <v>568</v>
      </c>
      <c r="B582" s="229"/>
      <c r="C582" s="222"/>
      <c r="D582" s="112"/>
      <c r="E582" s="128"/>
      <c r="F582" s="129"/>
      <c r="G582" s="130"/>
      <c r="H582" s="131"/>
      <c r="I582" s="132"/>
      <c r="J582" s="108"/>
      <c r="K582" s="133"/>
      <c r="L582" s="134"/>
      <c r="M582" s="334"/>
      <c r="N582" s="343"/>
      <c r="O582" s="135"/>
      <c r="P582" s="82"/>
      <c r="Q582" s="135"/>
      <c r="R582" s="82"/>
      <c r="S582" s="299"/>
      <c r="T582" s="305"/>
      <c r="U582" s="298"/>
      <c r="V582" s="304"/>
      <c r="W582" s="249"/>
      <c r="X582" s="344"/>
      <c r="Y582" s="337"/>
      <c r="Z582" s="33"/>
      <c r="AA582" s="83"/>
      <c r="AB582" s="33"/>
      <c r="AC582" s="83"/>
      <c r="AD582" s="33"/>
      <c r="AE582" s="83"/>
      <c r="AF582" s="33"/>
      <c r="AG582" s="244"/>
      <c r="AH582" s="83"/>
      <c r="AI582" s="246"/>
      <c r="AJ582" s="102"/>
      <c r="AK582" s="92"/>
      <c r="AL582" s="91"/>
      <c r="AM582" s="92"/>
      <c r="AN582" s="351"/>
      <c r="AO582" s="197">
        <f t="shared" si="35"/>
        <v>0</v>
      </c>
      <c r="AP582" s="91"/>
      <c r="AQ582" s="217"/>
      <c r="AR582" s="103"/>
      <c r="AS582" s="264"/>
      <c r="AT582" s="94"/>
      <c r="AU582" s="84"/>
      <c r="AV582" s="136"/>
      <c r="AW582" s="77"/>
      <c r="AX582" s="137"/>
      <c r="AY582" s="138"/>
      <c r="AZ582" s="220">
        <f t="shared" si="32"/>
        <v>0</v>
      </c>
      <c r="BA582" s="220">
        <f t="shared" si="33"/>
        <v>0</v>
      </c>
    </row>
    <row r="583" spans="1:53" ht="50.1" customHeight="1" x14ac:dyDescent="0.25">
      <c r="A583" s="17">
        <f t="shared" si="34"/>
        <v>569</v>
      </c>
      <c r="B583" s="228"/>
      <c r="C583" s="221"/>
      <c r="D583" s="88"/>
      <c r="E583" s="100"/>
      <c r="F583" s="95"/>
      <c r="G583" s="114"/>
      <c r="H583" s="96"/>
      <c r="I583" s="97"/>
      <c r="J583" s="98"/>
      <c r="K583" s="101"/>
      <c r="L583" s="124"/>
      <c r="M583" s="333"/>
      <c r="N583" s="341"/>
      <c r="O583" s="82"/>
      <c r="P583" s="93"/>
      <c r="Q583" s="82"/>
      <c r="R583" s="93"/>
      <c r="S583" s="298"/>
      <c r="T583" s="304"/>
      <c r="U583" s="307"/>
      <c r="V583" s="309"/>
      <c r="W583" s="248"/>
      <c r="X583" s="342"/>
      <c r="Y583" s="336"/>
      <c r="Z583" s="123"/>
      <c r="AA583" s="33"/>
      <c r="AB583" s="123"/>
      <c r="AC583" s="33"/>
      <c r="AD583" s="123"/>
      <c r="AE583" s="33"/>
      <c r="AF583" s="123"/>
      <c r="AG583" s="243"/>
      <c r="AH583" s="33"/>
      <c r="AI583" s="245"/>
      <c r="AJ583" s="125"/>
      <c r="AK583" s="91"/>
      <c r="AL583" s="126"/>
      <c r="AM583" s="91"/>
      <c r="AN583" s="91"/>
      <c r="AO583" s="197">
        <f t="shared" si="35"/>
        <v>0</v>
      </c>
      <c r="AP583" s="126"/>
      <c r="AQ583" s="216"/>
      <c r="AR583" s="127"/>
      <c r="AS583" s="269"/>
      <c r="AT583" s="94"/>
      <c r="AU583" s="84"/>
      <c r="AV583" s="80"/>
      <c r="AW583" s="81"/>
      <c r="AX583" s="77"/>
      <c r="AY583" s="107"/>
      <c r="AZ583" s="220">
        <f t="shared" si="32"/>
        <v>0</v>
      </c>
      <c r="BA583" s="220">
        <f t="shared" si="33"/>
        <v>0</v>
      </c>
    </row>
    <row r="584" spans="1:53" ht="50.1" customHeight="1" x14ac:dyDescent="0.25">
      <c r="A584" s="17">
        <f t="shared" si="34"/>
        <v>570</v>
      </c>
      <c r="B584" s="229"/>
      <c r="C584" s="222"/>
      <c r="D584" s="112"/>
      <c r="E584" s="128"/>
      <c r="F584" s="129"/>
      <c r="G584" s="130"/>
      <c r="H584" s="131"/>
      <c r="I584" s="132"/>
      <c r="J584" s="108"/>
      <c r="K584" s="133"/>
      <c r="L584" s="134"/>
      <c r="M584" s="334"/>
      <c r="N584" s="343"/>
      <c r="O584" s="135"/>
      <c r="P584" s="82"/>
      <c r="Q584" s="135"/>
      <c r="R584" s="82"/>
      <c r="S584" s="299"/>
      <c r="T584" s="305"/>
      <c r="U584" s="298"/>
      <c r="V584" s="304"/>
      <c r="W584" s="249"/>
      <c r="X584" s="344"/>
      <c r="Y584" s="337"/>
      <c r="Z584" s="33"/>
      <c r="AA584" s="83"/>
      <c r="AB584" s="33"/>
      <c r="AC584" s="83"/>
      <c r="AD584" s="33"/>
      <c r="AE584" s="83"/>
      <c r="AF584" s="33"/>
      <c r="AG584" s="244"/>
      <c r="AH584" s="83"/>
      <c r="AI584" s="246"/>
      <c r="AJ584" s="102"/>
      <c r="AK584" s="92"/>
      <c r="AL584" s="91"/>
      <c r="AM584" s="92"/>
      <c r="AN584" s="351"/>
      <c r="AO584" s="197">
        <f t="shared" si="35"/>
        <v>0</v>
      </c>
      <c r="AP584" s="91"/>
      <c r="AQ584" s="217"/>
      <c r="AR584" s="103"/>
      <c r="AS584" s="264"/>
      <c r="AT584" s="94"/>
      <c r="AU584" s="84"/>
      <c r="AV584" s="136"/>
      <c r="AW584" s="77"/>
      <c r="AX584" s="137"/>
      <c r="AY584" s="138"/>
      <c r="AZ584" s="220">
        <f t="shared" si="32"/>
        <v>0</v>
      </c>
      <c r="BA584" s="220">
        <f t="shared" si="33"/>
        <v>0</v>
      </c>
    </row>
    <row r="585" spans="1:53" ht="50.1" customHeight="1" x14ac:dyDescent="0.25">
      <c r="A585" s="17">
        <f t="shared" si="34"/>
        <v>571</v>
      </c>
      <c r="B585" s="228"/>
      <c r="C585" s="221"/>
      <c r="D585" s="88"/>
      <c r="E585" s="100"/>
      <c r="F585" s="95"/>
      <c r="G585" s="114"/>
      <c r="H585" s="96"/>
      <c r="I585" s="97"/>
      <c r="J585" s="98"/>
      <c r="K585" s="101"/>
      <c r="L585" s="124"/>
      <c r="M585" s="333"/>
      <c r="N585" s="341"/>
      <c r="O585" s="82"/>
      <c r="P585" s="93"/>
      <c r="Q585" s="82"/>
      <c r="R585" s="93"/>
      <c r="S585" s="298"/>
      <c r="T585" s="304"/>
      <c r="U585" s="307"/>
      <c r="V585" s="309"/>
      <c r="W585" s="248"/>
      <c r="X585" s="342"/>
      <c r="Y585" s="336"/>
      <c r="Z585" s="123"/>
      <c r="AA585" s="33"/>
      <c r="AB585" s="123"/>
      <c r="AC585" s="33"/>
      <c r="AD585" s="123"/>
      <c r="AE585" s="33"/>
      <c r="AF585" s="123"/>
      <c r="AG585" s="243"/>
      <c r="AH585" s="33"/>
      <c r="AI585" s="245"/>
      <c r="AJ585" s="125"/>
      <c r="AK585" s="91"/>
      <c r="AL585" s="126"/>
      <c r="AM585" s="91"/>
      <c r="AN585" s="91"/>
      <c r="AO585" s="197">
        <f t="shared" si="35"/>
        <v>0</v>
      </c>
      <c r="AP585" s="126"/>
      <c r="AQ585" s="216"/>
      <c r="AR585" s="127"/>
      <c r="AS585" s="269"/>
      <c r="AT585" s="94"/>
      <c r="AU585" s="84"/>
      <c r="AV585" s="80"/>
      <c r="AW585" s="81"/>
      <c r="AX585" s="77"/>
      <c r="AY585" s="107"/>
      <c r="AZ585" s="220">
        <f t="shared" si="32"/>
        <v>0</v>
      </c>
      <c r="BA585" s="220">
        <f t="shared" si="33"/>
        <v>0</v>
      </c>
    </row>
    <row r="586" spans="1:53" ht="50.1" customHeight="1" x14ac:dyDescent="0.25">
      <c r="A586" s="17">
        <f t="shared" si="34"/>
        <v>572</v>
      </c>
      <c r="B586" s="229"/>
      <c r="C586" s="222"/>
      <c r="D586" s="112"/>
      <c r="E586" s="128"/>
      <c r="F586" s="129"/>
      <c r="G586" s="130"/>
      <c r="H586" s="131"/>
      <c r="I586" s="132"/>
      <c r="J586" s="108"/>
      <c r="K586" s="133"/>
      <c r="L586" s="134"/>
      <c r="M586" s="334"/>
      <c r="N586" s="343"/>
      <c r="O586" s="135"/>
      <c r="P586" s="82"/>
      <c r="Q586" s="135"/>
      <c r="R586" s="82"/>
      <c r="S586" s="299"/>
      <c r="T586" s="305"/>
      <c r="U586" s="298"/>
      <c r="V586" s="304"/>
      <c r="W586" s="249"/>
      <c r="X586" s="344"/>
      <c r="Y586" s="337"/>
      <c r="Z586" s="33"/>
      <c r="AA586" s="83"/>
      <c r="AB586" s="33"/>
      <c r="AC586" s="83"/>
      <c r="AD586" s="33"/>
      <c r="AE586" s="83"/>
      <c r="AF586" s="33"/>
      <c r="AG586" s="244"/>
      <c r="AH586" s="83"/>
      <c r="AI586" s="246"/>
      <c r="AJ586" s="102"/>
      <c r="AK586" s="92"/>
      <c r="AL586" s="91"/>
      <c r="AM586" s="92"/>
      <c r="AN586" s="351"/>
      <c r="AO586" s="197">
        <f t="shared" si="35"/>
        <v>0</v>
      </c>
      <c r="AP586" s="91"/>
      <c r="AQ586" s="217"/>
      <c r="AR586" s="103"/>
      <c r="AS586" s="264"/>
      <c r="AT586" s="94"/>
      <c r="AU586" s="84"/>
      <c r="AV586" s="136"/>
      <c r="AW586" s="77"/>
      <c r="AX586" s="137"/>
      <c r="AY586" s="138"/>
      <c r="AZ586" s="220">
        <f t="shared" si="32"/>
        <v>0</v>
      </c>
      <c r="BA586" s="220">
        <f t="shared" si="33"/>
        <v>0</v>
      </c>
    </row>
    <row r="587" spans="1:53" ht="50.1" customHeight="1" x14ac:dyDescent="0.25">
      <c r="A587" s="17">
        <f t="shared" si="34"/>
        <v>573</v>
      </c>
      <c r="B587" s="228"/>
      <c r="C587" s="221"/>
      <c r="D587" s="88"/>
      <c r="E587" s="100"/>
      <c r="F587" s="95"/>
      <c r="G587" s="114"/>
      <c r="H587" s="96"/>
      <c r="I587" s="97"/>
      <c r="J587" s="98"/>
      <c r="K587" s="101"/>
      <c r="L587" s="124"/>
      <c r="M587" s="333"/>
      <c r="N587" s="341"/>
      <c r="O587" s="82"/>
      <c r="P587" s="93"/>
      <c r="Q587" s="82"/>
      <c r="R587" s="93"/>
      <c r="S587" s="298"/>
      <c r="T587" s="304"/>
      <c r="U587" s="307"/>
      <c r="V587" s="309"/>
      <c r="W587" s="248"/>
      <c r="X587" s="342"/>
      <c r="Y587" s="336"/>
      <c r="Z587" s="123"/>
      <c r="AA587" s="33"/>
      <c r="AB587" s="123"/>
      <c r="AC587" s="33"/>
      <c r="AD587" s="123"/>
      <c r="AE587" s="33"/>
      <c r="AF587" s="123"/>
      <c r="AG587" s="243"/>
      <c r="AH587" s="33"/>
      <c r="AI587" s="245"/>
      <c r="AJ587" s="125"/>
      <c r="AK587" s="91"/>
      <c r="AL587" s="126"/>
      <c r="AM587" s="91"/>
      <c r="AN587" s="91"/>
      <c r="AO587" s="197">
        <f t="shared" si="35"/>
        <v>0</v>
      </c>
      <c r="AP587" s="126"/>
      <c r="AQ587" s="216"/>
      <c r="AR587" s="127"/>
      <c r="AS587" s="269"/>
      <c r="AT587" s="94"/>
      <c r="AU587" s="84"/>
      <c r="AV587" s="80"/>
      <c r="AW587" s="81"/>
      <c r="AX587" s="77"/>
      <c r="AY587" s="107"/>
      <c r="AZ587" s="220">
        <f t="shared" si="32"/>
        <v>0</v>
      </c>
      <c r="BA587" s="220">
        <f t="shared" si="33"/>
        <v>0</v>
      </c>
    </row>
    <row r="588" spans="1:53" ht="50.1" customHeight="1" x14ac:dyDescent="0.25">
      <c r="A588" s="17">
        <f t="shared" si="34"/>
        <v>574</v>
      </c>
      <c r="B588" s="229"/>
      <c r="C588" s="222"/>
      <c r="D588" s="112"/>
      <c r="E588" s="128"/>
      <c r="F588" s="129"/>
      <c r="G588" s="130"/>
      <c r="H588" s="131"/>
      <c r="I588" s="132"/>
      <c r="J588" s="108"/>
      <c r="K588" s="133"/>
      <c r="L588" s="134"/>
      <c r="M588" s="334"/>
      <c r="N588" s="343"/>
      <c r="O588" s="135"/>
      <c r="P588" s="82"/>
      <c r="Q588" s="135"/>
      <c r="R588" s="82"/>
      <c r="S588" s="299"/>
      <c r="T588" s="305"/>
      <c r="U588" s="298"/>
      <c r="V588" s="304"/>
      <c r="W588" s="249"/>
      <c r="X588" s="344"/>
      <c r="Y588" s="337"/>
      <c r="Z588" s="33"/>
      <c r="AA588" s="83"/>
      <c r="AB588" s="33"/>
      <c r="AC588" s="83"/>
      <c r="AD588" s="33"/>
      <c r="AE588" s="83"/>
      <c r="AF588" s="33"/>
      <c r="AG588" s="244"/>
      <c r="AH588" s="83"/>
      <c r="AI588" s="246"/>
      <c r="AJ588" s="102"/>
      <c r="AK588" s="92"/>
      <c r="AL588" s="91"/>
      <c r="AM588" s="92"/>
      <c r="AN588" s="351"/>
      <c r="AO588" s="197">
        <f t="shared" si="35"/>
        <v>0</v>
      </c>
      <c r="AP588" s="91"/>
      <c r="AQ588" s="217"/>
      <c r="AR588" s="103"/>
      <c r="AS588" s="264"/>
      <c r="AT588" s="94"/>
      <c r="AU588" s="84"/>
      <c r="AV588" s="136"/>
      <c r="AW588" s="77"/>
      <c r="AX588" s="137"/>
      <c r="AY588" s="138"/>
      <c r="AZ588" s="220">
        <f t="shared" si="32"/>
        <v>0</v>
      </c>
      <c r="BA588" s="220">
        <f t="shared" si="33"/>
        <v>0</v>
      </c>
    </row>
    <row r="589" spans="1:53" ht="50.1" customHeight="1" x14ac:dyDescent="0.25">
      <c r="A589" s="17">
        <f t="shared" si="34"/>
        <v>575</v>
      </c>
      <c r="B589" s="228"/>
      <c r="C589" s="221"/>
      <c r="D589" s="88"/>
      <c r="E589" s="100"/>
      <c r="F589" s="95"/>
      <c r="G589" s="114"/>
      <c r="H589" s="96"/>
      <c r="I589" s="97"/>
      <c r="J589" s="98"/>
      <c r="K589" s="101"/>
      <c r="L589" s="124"/>
      <c r="M589" s="333"/>
      <c r="N589" s="341"/>
      <c r="O589" s="82"/>
      <c r="P589" s="93"/>
      <c r="Q589" s="82"/>
      <c r="R589" s="93"/>
      <c r="S589" s="298"/>
      <c r="T589" s="304"/>
      <c r="U589" s="307"/>
      <c r="V589" s="309"/>
      <c r="W589" s="248"/>
      <c r="X589" s="342"/>
      <c r="Y589" s="336"/>
      <c r="Z589" s="123"/>
      <c r="AA589" s="33"/>
      <c r="AB589" s="123"/>
      <c r="AC589" s="33"/>
      <c r="AD589" s="123"/>
      <c r="AE589" s="33"/>
      <c r="AF589" s="123"/>
      <c r="AG589" s="243"/>
      <c r="AH589" s="33"/>
      <c r="AI589" s="245"/>
      <c r="AJ589" s="125"/>
      <c r="AK589" s="91"/>
      <c r="AL589" s="126"/>
      <c r="AM589" s="91"/>
      <c r="AN589" s="91"/>
      <c r="AO589" s="197">
        <f t="shared" si="35"/>
        <v>0</v>
      </c>
      <c r="AP589" s="126"/>
      <c r="AQ589" s="216"/>
      <c r="AR589" s="127"/>
      <c r="AS589" s="269"/>
      <c r="AT589" s="94"/>
      <c r="AU589" s="84"/>
      <c r="AV589" s="80"/>
      <c r="AW589" s="81"/>
      <c r="AX589" s="77"/>
      <c r="AY589" s="107"/>
      <c r="AZ589" s="220">
        <f t="shared" si="32"/>
        <v>0</v>
      </c>
      <c r="BA589" s="220">
        <f t="shared" si="33"/>
        <v>0</v>
      </c>
    </row>
    <row r="590" spans="1:53" ht="50.1" customHeight="1" x14ac:dyDescent="0.25">
      <c r="A590" s="17">
        <f t="shared" si="34"/>
        <v>576</v>
      </c>
      <c r="B590" s="229"/>
      <c r="C590" s="222"/>
      <c r="D590" s="112"/>
      <c r="E590" s="128"/>
      <c r="F590" s="129"/>
      <c r="G590" s="130"/>
      <c r="H590" s="131"/>
      <c r="I590" s="132"/>
      <c r="J590" s="108"/>
      <c r="K590" s="133"/>
      <c r="L590" s="134"/>
      <c r="M590" s="334"/>
      <c r="N590" s="343"/>
      <c r="O590" s="135"/>
      <c r="P590" s="82"/>
      <c r="Q590" s="135"/>
      <c r="R590" s="82"/>
      <c r="S590" s="299"/>
      <c r="T590" s="305"/>
      <c r="U590" s="298"/>
      <c r="V590" s="304"/>
      <c r="W590" s="249"/>
      <c r="X590" s="344"/>
      <c r="Y590" s="337"/>
      <c r="Z590" s="33"/>
      <c r="AA590" s="83"/>
      <c r="AB590" s="33"/>
      <c r="AC590" s="83"/>
      <c r="AD590" s="33"/>
      <c r="AE590" s="83"/>
      <c r="AF590" s="33"/>
      <c r="AG590" s="244"/>
      <c r="AH590" s="83"/>
      <c r="AI590" s="246"/>
      <c r="AJ590" s="102"/>
      <c r="AK590" s="92"/>
      <c r="AL590" s="91"/>
      <c r="AM590" s="92"/>
      <c r="AN590" s="351"/>
      <c r="AO590" s="197">
        <f t="shared" si="35"/>
        <v>0</v>
      </c>
      <c r="AP590" s="91"/>
      <c r="AQ590" s="217"/>
      <c r="AR590" s="103"/>
      <c r="AS590" s="264"/>
      <c r="AT590" s="94"/>
      <c r="AU590" s="84"/>
      <c r="AV590" s="136"/>
      <c r="AW590" s="77"/>
      <c r="AX590" s="137"/>
      <c r="AY590" s="138"/>
      <c r="AZ590" s="220">
        <f t="shared" si="32"/>
        <v>0</v>
      </c>
      <c r="BA590" s="220">
        <f t="shared" si="33"/>
        <v>0</v>
      </c>
    </row>
    <row r="591" spans="1:53" ht="50.1" customHeight="1" x14ac:dyDescent="0.25">
      <c r="A591" s="17">
        <f t="shared" si="34"/>
        <v>577</v>
      </c>
      <c r="B591" s="228"/>
      <c r="C591" s="221"/>
      <c r="D591" s="88"/>
      <c r="E591" s="100"/>
      <c r="F591" s="95"/>
      <c r="G591" s="114"/>
      <c r="H591" s="96"/>
      <c r="I591" s="97"/>
      <c r="J591" s="98"/>
      <c r="K591" s="101"/>
      <c r="L591" s="124"/>
      <c r="M591" s="333"/>
      <c r="N591" s="341"/>
      <c r="O591" s="82"/>
      <c r="P591" s="93"/>
      <c r="Q591" s="82"/>
      <c r="R591" s="93"/>
      <c r="S591" s="298"/>
      <c r="T591" s="304"/>
      <c r="U591" s="307"/>
      <c r="V591" s="309"/>
      <c r="W591" s="248"/>
      <c r="X591" s="342"/>
      <c r="Y591" s="336"/>
      <c r="Z591" s="123"/>
      <c r="AA591" s="33"/>
      <c r="AB591" s="123"/>
      <c r="AC591" s="33"/>
      <c r="AD591" s="123"/>
      <c r="AE591" s="33"/>
      <c r="AF591" s="123"/>
      <c r="AG591" s="243"/>
      <c r="AH591" s="33"/>
      <c r="AI591" s="245"/>
      <c r="AJ591" s="125"/>
      <c r="AK591" s="91"/>
      <c r="AL591" s="126"/>
      <c r="AM591" s="91"/>
      <c r="AN591" s="91"/>
      <c r="AO591" s="197">
        <f t="shared" si="35"/>
        <v>0</v>
      </c>
      <c r="AP591" s="126"/>
      <c r="AQ591" s="216"/>
      <c r="AR591" s="127"/>
      <c r="AS591" s="269"/>
      <c r="AT591" s="94"/>
      <c r="AU591" s="84"/>
      <c r="AV591" s="80"/>
      <c r="AW591" s="81"/>
      <c r="AX591" s="77"/>
      <c r="AY591" s="107"/>
      <c r="AZ591" s="220">
        <f t="shared" ref="AZ591:AZ654" si="36">M591-B591</f>
        <v>0</v>
      </c>
      <c r="BA591" s="220">
        <f t="shared" ref="BA591:BA654" si="37">AU591-M591</f>
        <v>0</v>
      </c>
    </row>
    <row r="592" spans="1:53" ht="50.1" customHeight="1" x14ac:dyDescent="0.25">
      <c r="A592" s="17">
        <f t="shared" ref="A592:A655" si="38">ROW(A578)</f>
        <v>578</v>
      </c>
      <c r="B592" s="229"/>
      <c r="C592" s="222"/>
      <c r="D592" s="112"/>
      <c r="E592" s="128"/>
      <c r="F592" s="129"/>
      <c r="G592" s="130"/>
      <c r="H592" s="131"/>
      <c r="I592" s="132"/>
      <c r="J592" s="108"/>
      <c r="K592" s="133"/>
      <c r="L592" s="134"/>
      <c r="M592" s="334"/>
      <c r="N592" s="343"/>
      <c r="O592" s="135"/>
      <c r="P592" s="82"/>
      <c r="Q592" s="135"/>
      <c r="R592" s="82"/>
      <c r="S592" s="299"/>
      <c r="T592" s="305"/>
      <c r="U592" s="298"/>
      <c r="V592" s="304"/>
      <c r="W592" s="249"/>
      <c r="X592" s="344"/>
      <c r="Y592" s="337"/>
      <c r="Z592" s="33"/>
      <c r="AA592" s="83"/>
      <c r="AB592" s="33"/>
      <c r="AC592" s="83"/>
      <c r="AD592" s="33"/>
      <c r="AE592" s="83"/>
      <c r="AF592" s="33"/>
      <c r="AG592" s="244"/>
      <c r="AH592" s="83"/>
      <c r="AI592" s="246"/>
      <c r="AJ592" s="102"/>
      <c r="AK592" s="92"/>
      <c r="AL592" s="91"/>
      <c r="AM592" s="92"/>
      <c r="AN592" s="351"/>
      <c r="AO592" s="197">
        <f t="shared" ref="AO592:AO655" si="39">AJ592-AK592-AL592-AM592-AN592</f>
        <v>0</v>
      </c>
      <c r="AP592" s="91"/>
      <c r="AQ592" s="217"/>
      <c r="AR592" s="103"/>
      <c r="AS592" s="264"/>
      <c r="AT592" s="94"/>
      <c r="AU592" s="84"/>
      <c r="AV592" s="136"/>
      <c r="AW592" s="77"/>
      <c r="AX592" s="137"/>
      <c r="AY592" s="138"/>
      <c r="AZ592" s="220">
        <f t="shared" si="36"/>
        <v>0</v>
      </c>
      <c r="BA592" s="220">
        <f t="shared" si="37"/>
        <v>0</v>
      </c>
    </row>
    <row r="593" spans="1:53" ht="50.1" customHeight="1" x14ac:dyDescent="0.25">
      <c r="A593" s="17">
        <f t="shared" si="38"/>
        <v>579</v>
      </c>
      <c r="B593" s="228"/>
      <c r="C593" s="221"/>
      <c r="D593" s="88"/>
      <c r="E593" s="100"/>
      <c r="F593" s="95"/>
      <c r="G593" s="114"/>
      <c r="H593" s="96"/>
      <c r="I593" s="97"/>
      <c r="J593" s="98"/>
      <c r="K593" s="101"/>
      <c r="L593" s="124"/>
      <c r="M593" s="333"/>
      <c r="N593" s="341"/>
      <c r="O593" s="82"/>
      <c r="P593" s="93"/>
      <c r="Q593" s="82"/>
      <c r="R593" s="93"/>
      <c r="S593" s="298"/>
      <c r="T593" s="304"/>
      <c r="U593" s="307"/>
      <c r="V593" s="309"/>
      <c r="W593" s="248"/>
      <c r="X593" s="342"/>
      <c r="Y593" s="336"/>
      <c r="Z593" s="123"/>
      <c r="AA593" s="33"/>
      <c r="AB593" s="123"/>
      <c r="AC593" s="33"/>
      <c r="AD593" s="123"/>
      <c r="AE593" s="33"/>
      <c r="AF593" s="123"/>
      <c r="AG593" s="243"/>
      <c r="AH593" s="33"/>
      <c r="AI593" s="245"/>
      <c r="AJ593" s="125"/>
      <c r="AK593" s="91"/>
      <c r="AL593" s="126"/>
      <c r="AM593" s="91"/>
      <c r="AN593" s="91"/>
      <c r="AO593" s="197">
        <f t="shared" si="39"/>
        <v>0</v>
      </c>
      <c r="AP593" s="126"/>
      <c r="AQ593" s="216"/>
      <c r="AR593" s="127"/>
      <c r="AS593" s="269"/>
      <c r="AT593" s="94"/>
      <c r="AU593" s="84"/>
      <c r="AV593" s="80"/>
      <c r="AW593" s="81"/>
      <c r="AX593" s="77"/>
      <c r="AY593" s="107"/>
      <c r="AZ593" s="220">
        <f t="shared" si="36"/>
        <v>0</v>
      </c>
      <c r="BA593" s="220">
        <f t="shared" si="37"/>
        <v>0</v>
      </c>
    </row>
    <row r="594" spans="1:53" ht="50.1" customHeight="1" x14ac:dyDescent="0.25">
      <c r="A594" s="17">
        <f t="shared" si="38"/>
        <v>580</v>
      </c>
      <c r="B594" s="229"/>
      <c r="C594" s="222"/>
      <c r="D594" s="112"/>
      <c r="E594" s="128"/>
      <c r="F594" s="129"/>
      <c r="G594" s="130"/>
      <c r="H594" s="131"/>
      <c r="I594" s="132"/>
      <c r="J594" s="108"/>
      <c r="K594" s="133"/>
      <c r="L594" s="134"/>
      <c r="M594" s="334"/>
      <c r="N594" s="343"/>
      <c r="O594" s="135"/>
      <c r="P594" s="82"/>
      <c r="Q594" s="135"/>
      <c r="R594" s="82"/>
      <c r="S594" s="299"/>
      <c r="T594" s="305"/>
      <c r="U594" s="298"/>
      <c r="V594" s="304"/>
      <c r="W594" s="249"/>
      <c r="X594" s="344"/>
      <c r="Y594" s="337"/>
      <c r="Z594" s="33"/>
      <c r="AA594" s="83"/>
      <c r="AB594" s="33"/>
      <c r="AC594" s="83"/>
      <c r="AD594" s="33"/>
      <c r="AE594" s="83"/>
      <c r="AF594" s="33"/>
      <c r="AG594" s="244"/>
      <c r="AH594" s="83"/>
      <c r="AI594" s="246"/>
      <c r="AJ594" s="102"/>
      <c r="AK594" s="92"/>
      <c r="AL594" s="91"/>
      <c r="AM594" s="92"/>
      <c r="AN594" s="351"/>
      <c r="AO594" s="197">
        <f t="shared" si="39"/>
        <v>0</v>
      </c>
      <c r="AP594" s="91"/>
      <c r="AQ594" s="217"/>
      <c r="AR594" s="103"/>
      <c r="AS594" s="264"/>
      <c r="AT594" s="94"/>
      <c r="AU594" s="84"/>
      <c r="AV594" s="136"/>
      <c r="AW594" s="77"/>
      <c r="AX594" s="137"/>
      <c r="AY594" s="138"/>
      <c r="AZ594" s="220">
        <f t="shared" si="36"/>
        <v>0</v>
      </c>
      <c r="BA594" s="220">
        <f t="shared" si="37"/>
        <v>0</v>
      </c>
    </row>
    <row r="595" spans="1:53" ht="50.1" customHeight="1" x14ac:dyDescent="0.25">
      <c r="A595" s="17">
        <f t="shared" si="38"/>
        <v>581</v>
      </c>
      <c r="B595" s="228"/>
      <c r="C595" s="221"/>
      <c r="D595" s="88"/>
      <c r="E595" s="100"/>
      <c r="F595" s="95"/>
      <c r="G595" s="114"/>
      <c r="H595" s="96"/>
      <c r="I595" s="97"/>
      <c r="J595" s="98"/>
      <c r="K595" s="101"/>
      <c r="L595" s="124"/>
      <c r="M595" s="333"/>
      <c r="N595" s="341"/>
      <c r="O595" s="82"/>
      <c r="P595" s="93"/>
      <c r="Q595" s="82"/>
      <c r="R595" s="93"/>
      <c r="S595" s="298"/>
      <c r="T595" s="304"/>
      <c r="U595" s="307"/>
      <c r="V595" s="309"/>
      <c r="W595" s="248"/>
      <c r="X595" s="342"/>
      <c r="Y595" s="336"/>
      <c r="Z595" s="123"/>
      <c r="AA595" s="33"/>
      <c r="AB595" s="123"/>
      <c r="AC595" s="33"/>
      <c r="AD595" s="123"/>
      <c r="AE595" s="33"/>
      <c r="AF595" s="123"/>
      <c r="AG595" s="243"/>
      <c r="AH595" s="33"/>
      <c r="AI595" s="245"/>
      <c r="AJ595" s="125"/>
      <c r="AK595" s="91"/>
      <c r="AL595" s="126"/>
      <c r="AM595" s="91"/>
      <c r="AN595" s="91"/>
      <c r="AO595" s="197">
        <f t="shared" si="39"/>
        <v>0</v>
      </c>
      <c r="AP595" s="126"/>
      <c r="AQ595" s="216"/>
      <c r="AR595" s="127"/>
      <c r="AS595" s="269"/>
      <c r="AT595" s="94"/>
      <c r="AU595" s="84"/>
      <c r="AV595" s="80"/>
      <c r="AW595" s="81"/>
      <c r="AX595" s="77"/>
      <c r="AY595" s="107"/>
      <c r="AZ595" s="220">
        <f t="shared" si="36"/>
        <v>0</v>
      </c>
      <c r="BA595" s="220">
        <f t="shared" si="37"/>
        <v>0</v>
      </c>
    </row>
    <row r="596" spans="1:53" ht="50.1" customHeight="1" x14ac:dyDescent="0.25">
      <c r="A596" s="17">
        <f t="shared" si="38"/>
        <v>582</v>
      </c>
      <c r="B596" s="229"/>
      <c r="C596" s="222"/>
      <c r="D596" s="112"/>
      <c r="E596" s="128"/>
      <c r="F596" s="129"/>
      <c r="G596" s="130"/>
      <c r="H596" s="131"/>
      <c r="I596" s="132"/>
      <c r="J596" s="108"/>
      <c r="K596" s="133"/>
      <c r="L596" s="134"/>
      <c r="M596" s="334"/>
      <c r="N596" s="343"/>
      <c r="O596" s="135"/>
      <c r="P596" s="82"/>
      <c r="Q596" s="135"/>
      <c r="R596" s="82"/>
      <c r="S596" s="299"/>
      <c r="T596" s="305"/>
      <c r="U596" s="298"/>
      <c r="V596" s="304"/>
      <c r="W596" s="249"/>
      <c r="X596" s="344"/>
      <c r="Y596" s="337"/>
      <c r="Z596" s="33"/>
      <c r="AA596" s="83"/>
      <c r="AB596" s="33"/>
      <c r="AC596" s="83"/>
      <c r="AD596" s="33"/>
      <c r="AE596" s="83"/>
      <c r="AF596" s="33"/>
      <c r="AG596" s="244"/>
      <c r="AH596" s="83"/>
      <c r="AI596" s="246"/>
      <c r="AJ596" s="102"/>
      <c r="AK596" s="92"/>
      <c r="AL596" s="91"/>
      <c r="AM596" s="92"/>
      <c r="AN596" s="351"/>
      <c r="AO596" s="197">
        <f t="shared" si="39"/>
        <v>0</v>
      </c>
      <c r="AP596" s="91"/>
      <c r="AQ596" s="217"/>
      <c r="AR596" s="103"/>
      <c r="AS596" s="264"/>
      <c r="AT596" s="94"/>
      <c r="AU596" s="84"/>
      <c r="AV596" s="136"/>
      <c r="AW596" s="77"/>
      <c r="AX596" s="137"/>
      <c r="AY596" s="138"/>
      <c r="AZ596" s="220">
        <f t="shared" si="36"/>
        <v>0</v>
      </c>
      <c r="BA596" s="220">
        <f t="shared" si="37"/>
        <v>0</v>
      </c>
    </row>
    <row r="597" spans="1:53" ht="50.1" customHeight="1" x14ac:dyDescent="0.25">
      <c r="A597" s="17">
        <f t="shared" si="38"/>
        <v>583</v>
      </c>
      <c r="B597" s="228"/>
      <c r="C597" s="221"/>
      <c r="D597" s="88"/>
      <c r="E597" s="100"/>
      <c r="F597" s="95"/>
      <c r="G597" s="114"/>
      <c r="H597" s="96"/>
      <c r="I597" s="97"/>
      <c r="J597" s="98"/>
      <c r="K597" s="101"/>
      <c r="L597" s="124"/>
      <c r="M597" s="333"/>
      <c r="N597" s="341"/>
      <c r="O597" s="82"/>
      <c r="P597" s="93"/>
      <c r="Q597" s="82"/>
      <c r="R597" s="93"/>
      <c r="S597" s="298"/>
      <c r="T597" s="304"/>
      <c r="U597" s="307"/>
      <c r="V597" s="309"/>
      <c r="W597" s="248"/>
      <c r="X597" s="342"/>
      <c r="Y597" s="336"/>
      <c r="Z597" s="123"/>
      <c r="AA597" s="33"/>
      <c r="AB597" s="123"/>
      <c r="AC597" s="33"/>
      <c r="AD597" s="123"/>
      <c r="AE597" s="33"/>
      <c r="AF597" s="123"/>
      <c r="AG597" s="243"/>
      <c r="AH597" s="33"/>
      <c r="AI597" s="245"/>
      <c r="AJ597" s="125"/>
      <c r="AK597" s="91"/>
      <c r="AL597" s="126"/>
      <c r="AM597" s="91"/>
      <c r="AN597" s="91"/>
      <c r="AO597" s="197">
        <f t="shared" si="39"/>
        <v>0</v>
      </c>
      <c r="AP597" s="126"/>
      <c r="AQ597" s="216"/>
      <c r="AR597" s="127"/>
      <c r="AS597" s="269"/>
      <c r="AT597" s="94"/>
      <c r="AU597" s="84"/>
      <c r="AV597" s="80"/>
      <c r="AW597" s="81"/>
      <c r="AX597" s="77"/>
      <c r="AY597" s="107"/>
      <c r="AZ597" s="220">
        <f t="shared" si="36"/>
        <v>0</v>
      </c>
      <c r="BA597" s="220">
        <f t="shared" si="37"/>
        <v>0</v>
      </c>
    </row>
    <row r="598" spans="1:53" ht="50.1" customHeight="1" x14ac:dyDescent="0.25">
      <c r="A598" s="17">
        <f t="shared" si="38"/>
        <v>584</v>
      </c>
      <c r="B598" s="229"/>
      <c r="C598" s="222"/>
      <c r="D598" s="112"/>
      <c r="E598" s="128"/>
      <c r="F598" s="129"/>
      <c r="G598" s="130"/>
      <c r="H598" s="131"/>
      <c r="I598" s="132"/>
      <c r="J598" s="108"/>
      <c r="K598" s="133"/>
      <c r="L598" s="134"/>
      <c r="M598" s="334"/>
      <c r="N598" s="343"/>
      <c r="O598" s="135"/>
      <c r="P598" s="82"/>
      <c r="Q598" s="135"/>
      <c r="R598" s="82"/>
      <c r="S598" s="299"/>
      <c r="T598" s="305"/>
      <c r="U598" s="298"/>
      <c r="V598" s="304"/>
      <c r="W598" s="249"/>
      <c r="X598" s="344"/>
      <c r="Y598" s="337"/>
      <c r="Z598" s="33"/>
      <c r="AA598" s="83"/>
      <c r="AB598" s="33"/>
      <c r="AC598" s="83"/>
      <c r="AD598" s="33"/>
      <c r="AE598" s="83"/>
      <c r="AF598" s="33"/>
      <c r="AG598" s="244"/>
      <c r="AH598" s="83"/>
      <c r="AI598" s="246"/>
      <c r="AJ598" s="102"/>
      <c r="AK598" s="92"/>
      <c r="AL598" s="91"/>
      <c r="AM598" s="92"/>
      <c r="AN598" s="351"/>
      <c r="AO598" s="197">
        <f t="shared" si="39"/>
        <v>0</v>
      </c>
      <c r="AP598" s="91"/>
      <c r="AQ598" s="217"/>
      <c r="AR598" s="103"/>
      <c r="AS598" s="264"/>
      <c r="AT598" s="94"/>
      <c r="AU598" s="84"/>
      <c r="AV598" s="136"/>
      <c r="AW598" s="77"/>
      <c r="AX598" s="137"/>
      <c r="AY598" s="138"/>
      <c r="AZ598" s="220">
        <f t="shared" si="36"/>
        <v>0</v>
      </c>
      <c r="BA598" s="220">
        <f t="shared" si="37"/>
        <v>0</v>
      </c>
    </row>
    <row r="599" spans="1:53" ht="50.1" customHeight="1" x14ac:dyDescent="0.25">
      <c r="A599" s="17">
        <f t="shared" si="38"/>
        <v>585</v>
      </c>
      <c r="B599" s="228"/>
      <c r="C599" s="221"/>
      <c r="D599" s="88"/>
      <c r="E599" s="100"/>
      <c r="F599" s="95"/>
      <c r="G599" s="114"/>
      <c r="H599" s="96"/>
      <c r="I599" s="97"/>
      <c r="J599" s="98"/>
      <c r="K599" s="101"/>
      <c r="L599" s="124"/>
      <c r="M599" s="333"/>
      <c r="N599" s="341"/>
      <c r="O599" s="82"/>
      <c r="P599" s="93"/>
      <c r="Q599" s="82"/>
      <c r="R599" s="93"/>
      <c r="S599" s="298"/>
      <c r="T599" s="304"/>
      <c r="U599" s="307"/>
      <c r="V599" s="309"/>
      <c r="W599" s="248"/>
      <c r="X599" s="342"/>
      <c r="Y599" s="336"/>
      <c r="Z599" s="123"/>
      <c r="AA599" s="33"/>
      <c r="AB599" s="123"/>
      <c r="AC599" s="33"/>
      <c r="AD599" s="123"/>
      <c r="AE599" s="33"/>
      <c r="AF599" s="123"/>
      <c r="AG599" s="243"/>
      <c r="AH599" s="33"/>
      <c r="AI599" s="245"/>
      <c r="AJ599" s="125"/>
      <c r="AK599" s="91"/>
      <c r="AL599" s="126"/>
      <c r="AM599" s="91"/>
      <c r="AN599" s="91"/>
      <c r="AO599" s="197">
        <f t="shared" si="39"/>
        <v>0</v>
      </c>
      <c r="AP599" s="126"/>
      <c r="AQ599" s="216"/>
      <c r="AR599" s="127"/>
      <c r="AS599" s="269"/>
      <c r="AT599" s="94"/>
      <c r="AU599" s="84"/>
      <c r="AV599" s="80"/>
      <c r="AW599" s="81"/>
      <c r="AX599" s="77"/>
      <c r="AY599" s="107"/>
      <c r="AZ599" s="220">
        <f t="shared" si="36"/>
        <v>0</v>
      </c>
      <c r="BA599" s="220">
        <f t="shared" si="37"/>
        <v>0</v>
      </c>
    </row>
    <row r="600" spans="1:53" ht="50.1" customHeight="1" x14ac:dyDescent="0.25">
      <c r="A600" s="17">
        <f t="shared" si="38"/>
        <v>586</v>
      </c>
      <c r="B600" s="229"/>
      <c r="C600" s="222"/>
      <c r="D600" s="112"/>
      <c r="E600" s="128"/>
      <c r="F600" s="129"/>
      <c r="G600" s="130"/>
      <c r="H600" s="131"/>
      <c r="I600" s="132"/>
      <c r="J600" s="108"/>
      <c r="K600" s="133"/>
      <c r="L600" s="134"/>
      <c r="M600" s="334"/>
      <c r="N600" s="343"/>
      <c r="O600" s="135"/>
      <c r="P600" s="82"/>
      <c r="Q600" s="135"/>
      <c r="R600" s="82"/>
      <c r="S600" s="299"/>
      <c r="T600" s="305"/>
      <c r="U600" s="298"/>
      <c r="V600" s="304"/>
      <c r="W600" s="249"/>
      <c r="X600" s="344"/>
      <c r="Y600" s="337"/>
      <c r="Z600" s="33"/>
      <c r="AA600" s="83"/>
      <c r="AB600" s="33"/>
      <c r="AC600" s="83"/>
      <c r="AD600" s="33"/>
      <c r="AE600" s="83"/>
      <c r="AF600" s="33"/>
      <c r="AG600" s="244"/>
      <c r="AH600" s="83"/>
      <c r="AI600" s="246"/>
      <c r="AJ600" s="102"/>
      <c r="AK600" s="92"/>
      <c r="AL600" s="91"/>
      <c r="AM600" s="92"/>
      <c r="AN600" s="351"/>
      <c r="AO600" s="197">
        <f t="shared" si="39"/>
        <v>0</v>
      </c>
      <c r="AP600" s="91"/>
      <c r="AQ600" s="217"/>
      <c r="AR600" s="103"/>
      <c r="AS600" s="264"/>
      <c r="AT600" s="94"/>
      <c r="AU600" s="84"/>
      <c r="AV600" s="136"/>
      <c r="AW600" s="77"/>
      <c r="AX600" s="137"/>
      <c r="AY600" s="138"/>
      <c r="AZ600" s="220">
        <f t="shared" si="36"/>
        <v>0</v>
      </c>
      <c r="BA600" s="220">
        <f t="shared" si="37"/>
        <v>0</v>
      </c>
    </row>
    <row r="601" spans="1:53" ht="50.1" customHeight="1" x14ac:dyDescent="0.25">
      <c r="A601" s="17">
        <f t="shared" si="38"/>
        <v>587</v>
      </c>
      <c r="B601" s="228"/>
      <c r="C601" s="221"/>
      <c r="D601" s="88"/>
      <c r="E601" s="100"/>
      <c r="F601" s="95"/>
      <c r="G601" s="114"/>
      <c r="H601" s="96"/>
      <c r="I601" s="97"/>
      <c r="J601" s="98"/>
      <c r="K601" s="101"/>
      <c r="L601" s="124"/>
      <c r="M601" s="333"/>
      <c r="N601" s="341"/>
      <c r="O601" s="82"/>
      <c r="P601" s="93"/>
      <c r="Q601" s="82"/>
      <c r="R601" s="93"/>
      <c r="S601" s="298"/>
      <c r="T601" s="304"/>
      <c r="U601" s="307"/>
      <c r="V601" s="309"/>
      <c r="W601" s="248"/>
      <c r="X601" s="342"/>
      <c r="Y601" s="336"/>
      <c r="Z601" s="123"/>
      <c r="AA601" s="33"/>
      <c r="AB601" s="123"/>
      <c r="AC601" s="33"/>
      <c r="AD601" s="123"/>
      <c r="AE601" s="33"/>
      <c r="AF601" s="123"/>
      <c r="AG601" s="243"/>
      <c r="AH601" s="33"/>
      <c r="AI601" s="245"/>
      <c r="AJ601" s="125"/>
      <c r="AK601" s="91"/>
      <c r="AL601" s="126"/>
      <c r="AM601" s="91"/>
      <c r="AN601" s="91"/>
      <c r="AO601" s="197">
        <f t="shared" si="39"/>
        <v>0</v>
      </c>
      <c r="AP601" s="126"/>
      <c r="AQ601" s="216"/>
      <c r="AR601" s="127"/>
      <c r="AS601" s="269"/>
      <c r="AT601" s="94"/>
      <c r="AU601" s="84"/>
      <c r="AV601" s="80"/>
      <c r="AW601" s="81"/>
      <c r="AX601" s="77"/>
      <c r="AY601" s="107"/>
      <c r="AZ601" s="220">
        <f t="shared" si="36"/>
        <v>0</v>
      </c>
      <c r="BA601" s="220">
        <f t="shared" si="37"/>
        <v>0</v>
      </c>
    </row>
    <row r="602" spans="1:53" ht="50.1" customHeight="1" x14ac:dyDescent="0.25">
      <c r="A602" s="17">
        <f t="shared" si="38"/>
        <v>588</v>
      </c>
      <c r="B602" s="229"/>
      <c r="C602" s="222"/>
      <c r="D602" s="112"/>
      <c r="E602" s="128"/>
      <c r="F602" s="129"/>
      <c r="G602" s="130"/>
      <c r="H602" s="131"/>
      <c r="I602" s="132"/>
      <c r="J602" s="108"/>
      <c r="K602" s="133"/>
      <c r="L602" s="134"/>
      <c r="M602" s="334"/>
      <c r="N602" s="343"/>
      <c r="O602" s="135"/>
      <c r="P602" s="82"/>
      <c r="Q602" s="135"/>
      <c r="R602" s="82"/>
      <c r="S602" s="299"/>
      <c r="T602" s="305"/>
      <c r="U602" s="298"/>
      <c r="V602" s="304"/>
      <c r="W602" s="249"/>
      <c r="X602" s="344"/>
      <c r="Y602" s="337"/>
      <c r="Z602" s="33"/>
      <c r="AA602" s="83"/>
      <c r="AB602" s="33"/>
      <c r="AC602" s="83"/>
      <c r="AD602" s="33"/>
      <c r="AE602" s="83"/>
      <c r="AF602" s="33"/>
      <c r="AG602" s="244"/>
      <c r="AH602" s="83"/>
      <c r="AI602" s="246"/>
      <c r="AJ602" s="102"/>
      <c r="AK602" s="92"/>
      <c r="AL602" s="91"/>
      <c r="AM602" s="92"/>
      <c r="AN602" s="351"/>
      <c r="AO602" s="197">
        <f t="shared" si="39"/>
        <v>0</v>
      </c>
      <c r="AP602" s="91"/>
      <c r="AQ602" s="217"/>
      <c r="AR602" s="103"/>
      <c r="AS602" s="264"/>
      <c r="AT602" s="94"/>
      <c r="AU602" s="84"/>
      <c r="AV602" s="136"/>
      <c r="AW602" s="77"/>
      <c r="AX602" s="137"/>
      <c r="AY602" s="138"/>
      <c r="AZ602" s="220">
        <f t="shared" si="36"/>
        <v>0</v>
      </c>
      <c r="BA602" s="220">
        <f t="shared" si="37"/>
        <v>0</v>
      </c>
    </row>
    <row r="603" spans="1:53" ht="50.1" customHeight="1" x14ac:dyDescent="0.25">
      <c r="A603" s="17">
        <f t="shared" si="38"/>
        <v>589</v>
      </c>
      <c r="B603" s="228"/>
      <c r="C603" s="221"/>
      <c r="D603" s="88"/>
      <c r="E603" s="100"/>
      <c r="F603" s="95"/>
      <c r="G603" s="114"/>
      <c r="H603" s="96"/>
      <c r="I603" s="97"/>
      <c r="J603" s="98"/>
      <c r="K603" s="101"/>
      <c r="L603" s="124"/>
      <c r="M603" s="333"/>
      <c r="N603" s="341"/>
      <c r="O603" s="82"/>
      <c r="P603" s="93"/>
      <c r="Q603" s="82"/>
      <c r="R603" s="93"/>
      <c r="S603" s="298"/>
      <c r="T603" s="304"/>
      <c r="U603" s="307"/>
      <c r="V603" s="309"/>
      <c r="W603" s="248"/>
      <c r="X603" s="342"/>
      <c r="Y603" s="336"/>
      <c r="Z603" s="123"/>
      <c r="AA603" s="33"/>
      <c r="AB603" s="123"/>
      <c r="AC603" s="33"/>
      <c r="AD603" s="123"/>
      <c r="AE603" s="33"/>
      <c r="AF603" s="123"/>
      <c r="AG603" s="243"/>
      <c r="AH603" s="33"/>
      <c r="AI603" s="245"/>
      <c r="AJ603" s="125"/>
      <c r="AK603" s="91"/>
      <c r="AL603" s="126"/>
      <c r="AM603" s="91"/>
      <c r="AN603" s="91"/>
      <c r="AO603" s="197">
        <f t="shared" si="39"/>
        <v>0</v>
      </c>
      <c r="AP603" s="126"/>
      <c r="AQ603" s="216"/>
      <c r="AR603" s="127"/>
      <c r="AS603" s="269"/>
      <c r="AT603" s="94"/>
      <c r="AU603" s="84"/>
      <c r="AV603" s="80"/>
      <c r="AW603" s="81"/>
      <c r="AX603" s="77"/>
      <c r="AY603" s="107"/>
      <c r="AZ603" s="220">
        <f t="shared" si="36"/>
        <v>0</v>
      </c>
      <c r="BA603" s="220">
        <f t="shared" si="37"/>
        <v>0</v>
      </c>
    </row>
    <row r="604" spans="1:53" ht="50.1" customHeight="1" x14ac:dyDescent="0.25">
      <c r="A604" s="17">
        <f t="shared" si="38"/>
        <v>590</v>
      </c>
      <c r="B604" s="229"/>
      <c r="C604" s="222"/>
      <c r="D604" s="112"/>
      <c r="E604" s="128"/>
      <c r="F604" s="129"/>
      <c r="G604" s="130"/>
      <c r="H604" s="131"/>
      <c r="I604" s="132"/>
      <c r="J604" s="108"/>
      <c r="K604" s="133"/>
      <c r="L604" s="134"/>
      <c r="M604" s="334"/>
      <c r="N604" s="343"/>
      <c r="O604" s="135"/>
      <c r="P604" s="82"/>
      <c r="Q604" s="135"/>
      <c r="R604" s="82"/>
      <c r="S604" s="299"/>
      <c r="T604" s="305"/>
      <c r="U604" s="298"/>
      <c r="V604" s="304"/>
      <c r="W604" s="249"/>
      <c r="X604" s="344"/>
      <c r="Y604" s="337"/>
      <c r="Z604" s="33"/>
      <c r="AA604" s="83"/>
      <c r="AB604" s="33"/>
      <c r="AC604" s="83"/>
      <c r="AD604" s="33"/>
      <c r="AE604" s="83"/>
      <c r="AF604" s="33"/>
      <c r="AG604" s="244"/>
      <c r="AH604" s="83"/>
      <c r="AI604" s="246"/>
      <c r="AJ604" s="102"/>
      <c r="AK604" s="92"/>
      <c r="AL604" s="91"/>
      <c r="AM604" s="92"/>
      <c r="AN604" s="351"/>
      <c r="AO604" s="197">
        <f t="shared" si="39"/>
        <v>0</v>
      </c>
      <c r="AP604" s="91"/>
      <c r="AQ604" s="217"/>
      <c r="AR604" s="103"/>
      <c r="AS604" s="264"/>
      <c r="AT604" s="94"/>
      <c r="AU604" s="84"/>
      <c r="AV604" s="136"/>
      <c r="AW604" s="77"/>
      <c r="AX604" s="137"/>
      <c r="AY604" s="138"/>
      <c r="AZ604" s="220">
        <f t="shared" si="36"/>
        <v>0</v>
      </c>
      <c r="BA604" s="220">
        <f t="shared" si="37"/>
        <v>0</v>
      </c>
    </row>
    <row r="605" spans="1:53" ht="50.1" customHeight="1" x14ac:dyDescent="0.25">
      <c r="A605" s="17">
        <f t="shared" si="38"/>
        <v>591</v>
      </c>
      <c r="B605" s="228"/>
      <c r="C605" s="221"/>
      <c r="D605" s="88"/>
      <c r="E605" s="100"/>
      <c r="F605" s="95"/>
      <c r="G605" s="114"/>
      <c r="H605" s="96"/>
      <c r="I605" s="97"/>
      <c r="J605" s="98"/>
      <c r="K605" s="101"/>
      <c r="L605" s="124"/>
      <c r="M605" s="333"/>
      <c r="N605" s="346"/>
      <c r="O605" s="82"/>
      <c r="P605" s="93"/>
      <c r="Q605" s="82"/>
      <c r="R605" s="93"/>
      <c r="S605" s="298"/>
      <c r="T605" s="304"/>
      <c r="U605" s="307"/>
      <c r="V605" s="309"/>
      <c r="W605" s="248"/>
      <c r="X605" s="342"/>
      <c r="Y605" s="336"/>
      <c r="Z605" s="123"/>
      <c r="AA605" s="33"/>
      <c r="AB605" s="123"/>
      <c r="AC605" s="33"/>
      <c r="AD605" s="123"/>
      <c r="AE605" s="33"/>
      <c r="AF605" s="123"/>
      <c r="AG605" s="243"/>
      <c r="AH605" s="33"/>
      <c r="AI605" s="245"/>
      <c r="AJ605" s="125"/>
      <c r="AK605" s="91"/>
      <c r="AL605" s="126"/>
      <c r="AM605" s="91"/>
      <c r="AN605" s="91"/>
      <c r="AO605" s="197">
        <f t="shared" si="39"/>
        <v>0</v>
      </c>
      <c r="AP605" s="126"/>
      <c r="AQ605" s="216"/>
      <c r="AR605" s="127"/>
      <c r="AS605" s="269"/>
      <c r="AT605" s="94"/>
      <c r="AU605" s="84"/>
      <c r="AV605" s="80"/>
      <c r="AW605" s="81"/>
      <c r="AX605" s="77"/>
      <c r="AY605" s="107"/>
      <c r="AZ605" s="220">
        <f t="shared" si="36"/>
        <v>0</v>
      </c>
      <c r="BA605" s="220">
        <f t="shared" si="37"/>
        <v>0</v>
      </c>
    </row>
    <row r="606" spans="1:53" ht="50.1" customHeight="1" x14ac:dyDescent="0.25">
      <c r="A606" s="17">
        <f t="shared" si="38"/>
        <v>592</v>
      </c>
      <c r="B606" s="229"/>
      <c r="C606" s="222"/>
      <c r="D606" s="112"/>
      <c r="E606" s="128"/>
      <c r="F606" s="129"/>
      <c r="G606" s="130"/>
      <c r="H606" s="131"/>
      <c r="I606" s="132"/>
      <c r="J606" s="108"/>
      <c r="K606" s="133"/>
      <c r="L606" s="134"/>
      <c r="M606" s="334"/>
      <c r="N606" s="343"/>
      <c r="O606" s="135"/>
      <c r="P606" s="82"/>
      <c r="Q606" s="135"/>
      <c r="R606" s="82"/>
      <c r="S606" s="299"/>
      <c r="T606" s="305"/>
      <c r="U606" s="298"/>
      <c r="V606" s="304"/>
      <c r="W606" s="249"/>
      <c r="X606" s="344"/>
      <c r="Y606" s="337"/>
      <c r="Z606" s="33"/>
      <c r="AA606" s="83"/>
      <c r="AB606" s="33"/>
      <c r="AC606" s="83"/>
      <c r="AD606" s="33"/>
      <c r="AE606" s="83"/>
      <c r="AF606" s="33"/>
      <c r="AG606" s="244"/>
      <c r="AH606" s="83"/>
      <c r="AI606" s="246"/>
      <c r="AJ606" s="102"/>
      <c r="AK606" s="92"/>
      <c r="AL606" s="91"/>
      <c r="AM606" s="92"/>
      <c r="AN606" s="351"/>
      <c r="AO606" s="197">
        <f t="shared" si="39"/>
        <v>0</v>
      </c>
      <c r="AP606" s="91"/>
      <c r="AQ606" s="217"/>
      <c r="AR606" s="103"/>
      <c r="AS606" s="264"/>
      <c r="AT606" s="94"/>
      <c r="AU606" s="84"/>
      <c r="AV606" s="136"/>
      <c r="AW606" s="77"/>
      <c r="AX606" s="137"/>
      <c r="AY606" s="138"/>
      <c r="AZ606" s="220">
        <f t="shared" si="36"/>
        <v>0</v>
      </c>
      <c r="BA606" s="220">
        <f t="shared" si="37"/>
        <v>0</v>
      </c>
    </row>
    <row r="607" spans="1:53" ht="50.1" customHeight="1" x14ac:dyDescent="0.25">
      <c r="A607" s="17">
        <f t="shared" si="38"/>
        <v>593</v>
      </c>
      <c r="B607" s="228"/>
      <c r="C607" s="221"/>
      <c r="D607" s="88"/>
      <c r="E607" s="100"/>
      <c r="F607" s="95"/>
      <c r="G607" s="114"/>
      <c r="H607" s="96"/>
      <c r="I607" s="97"/>
      <c r="J607" s="98"/>
      <c r="K607" s="101"/>
      <c r="L607" s="124"/>
      <c r="M607" s="333"/>
      <c r="N607" s="341"/>
      <c r="O607" s="82"/>
      <c r="P607" s="93"/>
      <c r="Q607" s="82"/>
      <c r="R607" s="93"/>
      <c r="S607" s="298"/>
      <c r="T607" s="304"/>
      <c r="U607" s="307"/>
      <c r="V607" s="309"/>
      <c r="W607" s="248"/>
      <c r="X607" s="342"/>
      <c r="Y607" s="336"/>
      <c r="Z607" s="123"/>
      <c r="AA607" s="33"/>
      <c r="AB607" s="123"/>
      <c r="AC607" s="33"/>
      <c r="AD607" s="123"/>
      <c r="AE607" s="33"/>
      <c r="AF607" s="123"/>
      <c r="AG607" s="243"/>
      <c r="AH607" s="33"/>
      <c r="AI607" s="245"/>
      <c r="AJ607" s="125"/>
      <c r="AK607" s="91"/>
      <c r="AL607" s="126"/>
      <c r="AM607" s="91"/>
      <c r="AN607" s="91"/>
      <c r="AO607" s="197">
        <f t="shared" si="39"/>
        <v>0</v>
      </c>
      <c r="AP607" s="126"/>
      <c r="AQ607" s="216"/>
      <c r="AR607" s="127"/>
      <c r="AS607" s="269"/>
      <c r="AT607" s="94"/>
      <c r="AU607" s="84"/>
      <c r="AV607" s="80"/>
      <c r="AW607" s="81"/>
      <c r="AX607" s="77"/>
      <c r="AY607" s="107"/>
      <c r="AZ607" s="220">
        <f t="shared" si="36"/>
        <v>0</v>
      </c>
      <c r="BA607" s="220">
        <f t="shared" si="37"/>
        <v>0</v>
      </c>
    </row>
    <row r="608" spans="1:53" ht="50.1" customHeight="1" x14ac:dyDescent="0.25">
      <c r="A608" s="17">
        <f t="shared" si="38"/>
        <v>594</v>
      </c>
      <c r="B608" s="229"/>
      <c r="C608" s="222"/>
      <c r="D608" s="112"/>
      <c r="E608" s="128"/>
      <c r="F608" s="129"/>
      <c r="G608" s="130"/>
      <c r="H608" s="131"/>
      <c r="I608" s="132"/>
      <c r="J608" s="108"/>
      <c r="K608" s="133"/>
      <c r="L608" s="134"/>
      <c r="M608" s="334"/>
      <c r="N608" s="343"/>
      <c r="O608" s="135"/>
      <c r="P608" s="82"/>
      <c r="Q608" s="135"/>
      <c r="R608" s="82"/>
      <c r="S608" s="299"/>
      <c r="T608" s="305"/>
      <c r="U608" s="298"/>
      <c r="V608" s="304"/>
      <c r="W608" s="249"/>
      <c r="X608" s="344"/>
      <c r="Y608" s="337"/>
      <c r="Z608" s="33"/>
      <c r="AA608" s="83"/>
      <c r="AB608" s="33"/>
      <c r="AC608" s="83"/>
      <c r="AD608" s="33"/>
      <c r="AE608" s="83"/>
      <c r="AF608" s="33"/>
      <c r="AG608" s="244"/>
      <c r="AH608" s="83"/>
      <c r="AI608" s="246"/>
      <c r="AJ608" s="102"/>
      <c r="AK608" s="92"/>
      <c r="AL608" s="91"/>
      <c r="AM608" s="92"/>
      <c r="AN608" s="351"/>
      <c r="AO608" s="197">
        <f t="shared" si="39"/>
        <v>0</v>
      </c>
      <c r="AP608" s="91"/>
      <c r="AQ608" s="217"/>
      <c r="AR608" s="103"/>
      <c r="AS608" s="264"/>
      <c r="AT608" s="94"/>
      <c r="AU608" s="84"/>
      <c r="AV608" s="136"/>
      <c r="AW608" s="77"/>
      <c r="AX608" s="137"/>
      <c r="AY608" s="138"/>
      <c r="AZ608" s="220">
        <f t="shared" si="36"/>
        <v>0</v>
      </c>
      <c r="BA608" s="220">
        <f t="shared" si="37"/>
        <v>0</v>
      </c>
    </row>
    <row r="609" spans="1:53" ht="50.1" customHeight="1" x14ac:dyDescent="0.25">
      <c r="A609" s="17">
        <f t="shared" si="38"/>
        <v>595</v>
      </c>
      <c r="B609" s="228"/>
      <c r="C609" s="221"/>
      <c r="D609" s="88"/>
      <c r="E609" s="100"/>
      <c r="F609" s="95"/>
      <c r="G609" s="114"/>
      <c r="H609" s="96"/>
      <c r="I609" s="97"/>
      <c r="J609" s="98"/>
      <c r="K609" s="101"/>
      <c r="L609" s="124"/>
      <c r="M609" s="333"/>
      <c r="N609" s="341"/>
      <c r="O609" s="82"/>
      <c r="P609" s="93"/>
      <c r="Q609" s="82"/>
      <c r="R609" s="93"/>
      <c r="S609" s="298"/>
      <c r="T609" s="304"/>
      <c r="U609" s="307"/>
      <c r="V609" s="309"/>
      <c r="W609" s="248"/>
      <c r="X609" s="342"/>
      <c r="Y609" s="336"/>
      <c r="Z609" s="123"/>
      <c r="AA609" s="33"/>
      <c r="AB609" s="123"/>
      <c r="AC609" s="33"/>
      <c r="AD609" s="123"/>
      <c r="AE609" s="33"/>
      <c r="AF609" s="123"/>
      <c r="AG609" s="243"/>
      <c r="AH609" s="33"/>
      <c r="AI609" s="245"/>
      <c r="AJ609" s="125"/>
      <c r="AK609" s="91"/>
      <c r="AL609" s="126"/>
      <c r="AM609" s="91"/>
      <c r="AN609" s="91"/>
      <c r="AO609" s="197">
        <f t="shared" si="39"/>
        <v>0</v>
      </c>
      <c r="AP609" s="126"/>
      <c r="AQ609" s="216"/>
      <c r="AR609" s="127"/>
      <c r="AS609" s="269"/>
      <c r="AT609" s="94"/>
      <c r="AU609" s="84"/>
      <c r="AV609" s="80"/>
      <c r="AW609" s="81"/>
      <c r="AX609" s="77"/>
      <c r="AY609" s="107"/>
      <c r="AZ609" s="220">
        <f t="shared" si="36"/>
        <v>0</v>
      </c>
      <c r="BA609" s="220">
        <f t="shared" si="37"/>
        <v>0</v>
      </c>
    </row>
    <row r="610" spans="1:53" ht="50.1" customHeight="1" x14ac:dyDescent="0.25">
      <c r="A610" s="17">
        <f t="shared" si="38"/>
        <v>596</v>
      </c>
      <c r="B610" s="229"/>
      <c r="C610" s="222"/>
      <c r="D610" s="112"/>
      <c r="E610" s="128"/>
      <c r="F610" s="129"/>
      <c r="G610" s="130"/>
      <c r="H610" s="131"/>
      <c r="I610" s="132"/>
      <c r="J610" s="108"/>
      <c r="K610" s="133"/>
      <c r="L610" s="134"/>
      <c r="M610" s="334"/>
      <c r="N610" s="343"/>
      <c r="O610" s="135"/>
      <c r="P610" s="82"/>
      <c r="Q610" s="135"/>
      <c r="R610" s="82"/>
      <c r="S610" s="299"/>
      <c r="T610" s="305"/>
      <c r="U610" s="298"/>
      <c r="V610" s="304"/>
      <c r="W610" s="249"/>
      <c r="X610" s="344"/>
      <c r="Y610" s="337"/>
      <c r="Z610" s="33"/>
      <c r="AA610" s="83"/>
      <c r="AB610" s="33"/>
      <c r="AC610" s="83"/>
      <c r="AD610" s="33"/>
      <c r="AE610" s="83"/>
      <c r="AF610" s="33"/>
      <c r="AG610" s="244"/>
      <c r="AH610" s="83"/>
      <c r="AI610" s="246"/>
      <c r="AJ610" s="102"/>
      <c r="AK610" s="92"/>
      <c r="AL610" s="91"/>
      <c r="AM610" s="92"/>
      <c r="AN610" s="351"/>
      <c r="AO610" s="197">
        <f t="shared" si="39"/>
        <v>0</v>
      </c>
      <c r="AP610" s="91"/>
      <c r="AQ610" s="217"/>
      <c r="AR610" s="103"/>
      <c r="AS610" s="264"/>
      <c r="AT610" s="94"/>
      <c r="AU610" s="84"/>
      <c r="AV610" s="136"/>
      <c r="AW610" s="77"/>
      <c r="AX610" s="137"/>
      <c r="AY610" s="138"/>
      <c r="AZ610" s="220">
        <f t="shared" si="36"/>
        <v>0</v>
      </c>
      <c r="BA610" s="220">
        <f t="shared" si="37"/>
        <v>0</v>
      </c>
    </row>
    <row r="611" spans="1:53" ht="50.1" customHeight="1" x14ac:dyDescent="0.25">
      <c r="A611" s="17">
        <f t="shared" si="38"/>
        <v>597</v>
      </c>
      <c r="B611" s="228"/>
      <c r="C611" s="221"/>
      <c r="D611" s="88"/>
      <c r="E611" s="100"/>
      <c r="F611" s="95"/>
      <c r="G611" s="114"/>
      <c r="H611" s="96"/>
      <c r="I611" s="97"/>
      <c r="J611" s="98"/>
      <c r="K611" s="101"/>
      <c r="L611" s="124"/>
      <c r="M611" s="333"/>
      <c r="N611" s="341"/>
      <c r="O611" s="82"/>
      <c r="P611" s="93"/>
      <c r="Q611" s="82"/>
      <c r="R611" s="93"/>
      <c r="S611" s="298"/>
      <c r="T611" s="304"/>
      <c r="U611" s="307"/>
      <c r="V611" s="309"/>
      <c r="W611" s="248"/>
      <c r="X611" s="342"/>
      <c r="Y611" s="336"/>
      <c r="Z611" s="123"/>
      <c r="AA611" s="33"/>
      <c r="AB611" s="123"/>
      <c r="AC611" s="33"/>
      <c r="AD611" s="123"/>
      <c r="AE611" s="33"/>
      <c r="AF611" s="123"/>
      <c r="AG611" s="243"/>
      <c r="AH611" s="33"/>
      <c r="AI611" s="245"/>
      <c r="AJ611" s="125"/>
      <c r="AK611" s="91"/>
      <c r="AL611" s="126"/>
      <c r="AM611" s="91"/>
      <c r="AN611" s="91"/>
      <c r="AO611" s="197">
        <f t="shared" si="39"/>
        <v>0</v>
      </c>
      <c r="AP611" s="126"/>
      <c r="AQ611" s="216"/>
      <c r="AR611" s="127"/>
      <c r="AS611" s="269"/>
      <c r="AT611" s="94"/>
      <c r="AU611" s="84"/>
      <c r="AV611" s="80"/>
      <c r="AW611" s="81"/>
      <c r="AX611" s="77"/>
      <c r="AY611" s="107"/>
      <c r="AZ611" s="220">
        <f t="shared" si="36"/>
        <v>0</v>
      </c>
      <c r="BA611" s="220">
        <f t="shared" si="37"/>
        <v>0</v>
      </c>
    </row>
    <row r="612" spans="1:53" ht="50.1" customHeight="1" x14ac:dyDescent="0.25">
      <c r="A612" s="17">
        <f t="shared" si="38"/>
        <v>598</v>
      </c>
      <c r="B612" s="229"/>
      <c r="C612" s="222"/>
      <c r="D612" s="112"/>
      <c r="E612" s="128"/>
      <c r="F612" s="129"/>
      <c r="G612" s="130"/>
      <c r="H612" s="131"/>
      <c r="I612" s="132"/>
      <c r="J612" s="108"/>
      <c r="K612" s="133"/>
      <c r="L612" s="134"/>
      <c r="M612" s="334"/>
      <c r="N612" s="343"/>
      <c r="O612" s="135"/>
      <c r="P612" s="82"/>
      <c r="Q612" s="135"/>
      <c r="R612" s="82"/>
      <c r="S612" s="299"/>
      <c r="T612" s="305"/>
      <c r="U612" s="298"/>
      <c r="V612" s="304"/>
      <c r="W612" s="249"/>
      <c r="X612" s="344"/>
      <c r="Y612" s="337"/>
      <c r="Z612" s="33"/>
      <c r="AA612" s="83"/>
      <c r="AB612" s="33"/>
      <c r="AC612" s="83"/>
      <c r="AD612" s="33"/>
      <c r="AE612" s="83"/>
      <c r="AF612" s="33"/>
      <c r="AG612" s="244"/>
      <c r="AH612" s="83"/>
      <c r="AI612" s="246"/>
      <c r="AJ612" s="102"/>
      <c r="AK612" s="92"/>
      <c r="AL612" s="91"/>
      <c r="AM612" s="92"/>
      <c r="AN612" s="351"/>
      <c r="AO612" s="197">
        <f t="shared" si="39"/>
        <v>0</v>
      </c>
      <c r="AP612" s="91"/>
      <c r="AQ612" s="217"/>
      <c r="AR612" s="103"/>
      <c r="AS612" s="264"/>
      <c r="AT612" s="94"/>
      <c r="AU612" s="84"/>
      <c r="AV612" s="136"/>
      <c r="AW612" s="77"/>
      <c r="AX612" s="137"/>
      <c r="AY612" s="138"/>
      <c r="AZ612" s="220">
        <f t="shared" si="36"/>
        <v>0</v>
      </c>
      <c r="BA612" s="220">
        <f t="shared" si="37"/>
        <v>0</v>
      </c>
    </row>
    <row r="613" spans="1:53" ht="50.1" customHeight="1" x14ac:dyDescent="0.25">
      <c r="A613" s="17">
        <f t="shared" si="38"/>
        <v>599</v>
      </c>
      <c r="B613" s="228"/>
      <c r="C613" s="221"/>
      <c r="D613" s="88"/>
      <c r="E613" s="100"/>
      <c r="F613" s="95"/>
      <c r="G613" s="114"/>
      <c r="H613" s="96"/>
      <c r="I613" s="97"/>
      <c r="J613" s="98"/>
      <c r="K613" s="101"/>
      <c r="L613" s="124"/>
      <c r="M613" s="333"/>
      <c r="N613" s="341"/>
      <c r="O613" s="82"/>
      <c r="P613" s="93"/>
      <c r="Q613" s="82"/>
      <c r="R613" s="93"/>
      <c r="S613" s="298"/>
      <c r="T613" s="304"/>
      <c r="U613" s="307"/>
      <c r="V613" s="309"/>
      <c r="W613" s="248"/>
      <c r="X613" s="342"/>
      <c r="Y613" s="336"/>
      <c r="Z613" s="123"/>
      <c r="AA613" s="33"/>
      <c r="AB613" s="123"/>
      <c r="AC613" s="33"/>
      <c r="AD613" s="123"/>
      <c r="AE613" s="33"/>
      <c r="AF613" s="123"/>
      <c r="AG613" s="243"/>
      <c r="AH613" s="33"/>
      <c r="AI613" s="245"/>
      <c r="AJ613" s="125"/>
      <c r="AK613" s="91"/>
      <c r="AL613" s="126"/>
      <c r="AM613" s="91"/>
      <c r="AN613" s="91"/>
      <c r="AO613" s="197">
        <f t="shared" si="39"/>
        <v>0</v>
      </c>
      <c r="AP613" s="126"/>
      <c r="AQ613" s="216"/>
      <c r="AR613" s="127"/>
      <c r="AS613" s="269"/>
      <c r="AT613" s="94"/>
      <c r="AU613" s="84"/>
      <c r="AV613" s="80"/>
      <c r="AW613" s="81"/>
      <c r="AX613" s="77"/>
      <c r="AY613" s="107"/>
      <c r="AZ613" s="220">
        <f t="shared" si="36"/>
        <v>0</v>
      </c>
      <c r="BA613" s="220">
        <f t="shared" si="37"/>
        <v>0</v>
      </c>
    </row>
    <row r="614" spans="1:53" ht="50.1" customHeight="1" x14ac:dyDescent="0.25">
      <c r="A614" s="17">
        <f t="shared" si="38"/>
        <v>600</v>
      </c>
      <c r="B614" s="229"/>
      <c r="C614" s="222"/>
      <c r="D614" s="112"/>
      <c r="E614" s="128"/>
      <c r="F614" s="129"/>
      <c r="G614" s="130"/>
      <c r="H614" s="131"/>
      <c r="I614" s="132"/>
      <c r="J614" s="108"/>
      <c r="K614" s="133"/>
      <c r="L614" s="134"/>
      <c r="M614" s="334"/>
      <c r="N614" s="343"/>
      <c r="O614" s="135"/>
      <c r="P614" s="82"/>
      <c r="Q614" s="135"/>
      <c r="R614" s="82"/>
      <c r="S614" s="299"/>
      <c r="T614" s="305"/>
      <c r="U614" s="298"/>
      <c r="V614" s="304"/>
      <c r="W614" s="249"/>
      <c r="X614" s="344"/>
      <c r="Y614" s="337"/>
      <c r="Z614" s="33"/>
      <c r="AA614" s="83"/>
      <c r="AB614" s="33"/>
      <c r="AC614" s="83"/>
      <c r="AD614" s="33"/>
      <c r="AE614" s="83"/>
      <c r="AF614" s="33"/>
      <c r="AG614" s="244"/>
      <c r="AH614" s="83"/>
      <c r="AI614" s="246"/>
      <c r="AJ614" s="102"/>
      <c r="AK614" s="92"/>
      <c r="AL614" s="91"/>
      <c r="AM614" s="92"/>
      <c r="AN614" s="351"/>
      <c r="AO614" s="197">
        <f t="shared" si="39"/>
        <v>0</v>
      </c>
      <c r="AP614" s="91"/>
      <c r="AQ614" s="217"/>
      <c r="AR614" s="103"/>
      <c r="AS614" s="264"/>
      <c r="AT614" s="94"/>
      <c r="AU614" s="84"/>
      <c r="AV614" s="136"/>
      <c r="AW614" s="77"/>
      <c r="AX614" s="137"/>
      <c r="AY614" s="138"/>
      <c r="AZ614" s="220">
        <f t="shared" si="36"/>
        <v>0</v>
      </c>
      <c r="BA614" s="220">
        <f t="shared" si="37"/>
        <v>0</v>
      </c>
    </row>
    <row r="615" spans="1:53" ht="50.1" customHeight="1" x14ac:dyDescent="0.25">
      <c r="A615" s="17">
        <f t="shared" si="38"/>
        <v>601</v>
      </c>
      <c r="B615" s="228"/>
      <c r="C615" s="221"/>
      <c r="D615" s="88"/>
      <c r="E615" s="100"/>
      <c r="F615" s="95"/>
      <c r="G615" s="114"/>
      <c r="H615" s="96"/>
      <c r="I615" s="97"/>
      <c r="J615" s="98"/>
      <c r="K615" s="101"/>
      <c r="L615" s="124"/>
      <c r="M615" s="333"/>
      <c r="N615" s="341"/>
      <c r="O615" s="82"/>
      <c r="P615" s="93"/>
      <c r="Q615" s="82"/>
      <c r="R615" s="93"/>
      <c r="S615" s="298"/>
      <c r="T615" s="304"/>
      <c r="U615" s="307"/>
      <c r="V615" s="309"/>
      <c r="W615" s="248"/>
      <c r="X615" s="342"/>
      <c r="Y615" s="336"/>
      <c r="Z615" s="123"/>
      <c r="AA615" s="33"/>
      <c r="AB615" s="123"/>
      <c r="AC615" s="33"/>
      <c r="AD615" s="123"/>
      <c r="AE615" s="33"/>
      <c r="AF615" s="123"/>
      <c r="AG615" s="243"/>
      <c r="AH615" s="33"/>
      <c r="AI615" s="245"/>
      <c r="AJ615" s="125"/>
      <c r="AK615" s="91"/>
      <c r="AL615" s="126"/>
      <c r="AM615" s="91"/>
      <c r="AN615" s="91"/>
      <c r="AO615" s="197">
        <f t="shared" si="39"/>
        <v>0</v>
      </c>
      <c r="AP615" s="126"/>
      <c r="AQ615" s="216"/>
      <c r="AR615" s="127"/>
      <c r="AS615" s="269"/>
      <c r="AT615" s="94"/>
      <c r="AU615" s="84"/>
      <c r="AV615" s="80"/>
      <c r="AW615" s="81"/>
      <c r="AX615" s="77"/>
      <c r="AY615" s="107"/>
      <c r="AZ615" s="220">
        <f t="shared" si="36"/>
        <v>0</v>
      </c>
      <c r="BA615" s="220">
        <f t="shared" si="37"/>
        <v>0</v>
      </c>
    </row>
    <row r="616" spans="1:53" ht="50.1" customHeight="1" x14ac:dyDescent="0.25">
      <c r="A616" s="17">
        <f t="shared" si="38"/>
        <v>602</v>
      </c>
      <c r="B616" s="229"/>
      <c r="C616" s="222"/>
      <c r="D616" s="112"/>
      <c r="E616" s="128"/>
      <c r="F616" s="129"/>
      <c r="G616" s="130"/>
      <c r="H616" s="131"/>
      <c r="I616" s="132"/>
      <c r="J616" s="108"/>
      <c r="K616" s="133"/>
      <c r="L616" s="134"/>
      <c r="M616" s="334"/>
      <c r="N616" s="343"/>
      <c r="O616" s="135"/>
      <c r="P616" s="82"/>
      <c r="Q616" s="135"/>
      <c r="R616" s="82"/>
      <c r="S616" s="299"/>
      <c r="T616" s="305"/>
      <c r="U616" s="298"/>
      <c r="V616" s="304"/>
      <c r="W616" s="249"/>
      <c r="X616" s="344"/>
      <c r="Y616" s="337"/>
      <c r="Z616" s="33"/>
      <c r="AA616" s="83"/>
      <c r="AB616" s="33"/>
      <c r="AC616" s="83"/>
      <c r="AD616" s="33"/>
      <c r="AE616" s="83"/>
      <c r="AF616" s="33"/>
      <c r="AG616" s="244"/>
      <c r="AH616" s="83"/>
      <c r="AI616" s="246"/>
      <c r="AJ616" s="102"/>
      <c r="AK616" s="92"/>
      <c r="AL616" s="91"/>
      <c r="AM616" s="92"/>
      <c r="AN616" s="351"/>
      <c r="AO616" s="197">
        <f t="shared" si="39"/>
        <v>0</v>
      </c>
      <c r="AP616" s="91"/>
      <c r="AQ616" s="217"/>
      <c r="AR616" s="103"/>
      <c r="AS616" s="264"/>
      <c r="AT616" s="94"/>
      <c r="AU616" s="84"/>
      <c r="AV616" s="136"/>
      <c r="AW616" s="77"/>
      <c r="AX616" s="137"/>
      <c r="AY616" s="138"/>
      <c r="AZ616" s="220">
        <f t="shared" si="36"/>
        <v>0</v>
      </c>
      <c r="BA616" s="220">
        <f t="shared" si="37"/>
        <v>0</v>
      </c>
    </row>
    <row r="617" spans="1:53" ht="50.1" customHeight="1" x14ac:dyDescent="0.25">
      <c r="A617" s="17">
        <f t="shared" si="38"/>
        <v>603</v>
      </c>
      <c r="B617" s="228"/>
      <c r="C617" s="221"/>
      <c r="D617" s="88"/>
      <c r="E617" s="100"/>
      <c r="F617" s="95"/>
      <c r="G617" s="114"/>
      <c r="H617" s="96"/>
      <c r="I617" s="97"/>
      <c r="J617" s="98"/>
      <c r="K617" s="101"/>
      <c r="L617" s="124"/>
      <c r="M617" s="333"/>
      <c r="N617" s="341"/>
      <c r="O617" s="82"/>
      <c r="P617" s="93"/>
      <c r="Q617" s="82"/>
      <c r="R617" s="93"/>
      <c r="S617" s="298"/>
      <c r="T617" s="304"/>
      <c r="U617" s="307"/>
      <c r="V617" s="309"/>
      <c r="W617" s="248"/>
      <c r="X617" s="342"/>
      <c r="Y617" s="336"/>
      <c r="Z617" s="123"/>
      <c r="AA617" s="33"/>
      <c r="AB617" s="123"/>
      <c r="AC617" s="33"/>
      <c r="AD617" s="123"/>
      <c r="AE617" s="33"/>
      <c r="AF617" s="123"/>
      <c r="AG617" s="243"/>
      <c r="AH617" s="33"/>
      <c r="AI617" s="245"/>
      <c r="AJ617" s="125"/>
      <c r="AK617" s="91"/>
      <c r="AL617" s="126"/>
      <c r="AM617" s="91"/>
      <c r="AN617" s="91"/>
      <c r="AO617" s="197">
        <f t="shared" si="39"/>
        <v>0</v>
      </c>
      <c r="AP617" s="126"/>
      <c r="AQ617" s="216"/>
      <c r="AR617" s="127"/>
      <c r="AS617" s="269"/>
      <c r="AT617" s="94"/>
      <c r="AU617" s="84"/>
      <c r="AV617" s="80"/>
      <c r="AW617" s="81"/>
      <c r="AX617" s="77"/>
      <c r="AY617" s="107"/>
      <c r="AZ617" s="220">
        <f t="shared" si="36"/>
        <v>0</v>
      </c>
      <c r="BA617" s="220">
        <f t="shared" si="37"/>
        <v>0</v>
      </c>
    </row>
    <row r="618" spans="1:53" ht="50.1" customHeight="1" x14ac:dyDescent="0.25">
      <c r="A618" s="17">
        <f t="shared" si="38"/>
        <v>604</v>
      </c>
      <c r="B618" s="229"/>
      <c r="C618" s="222"/>
      <c r="D618" s="112"/>
      <c r="E618" s="128"/>
      <c r="F618" s="129"/>
      <c r="G618" s="130"/>
      <c r="H618" s="131"/>
      <c r="I618" s="132"/>
      <c r="J618" s="108"/>
      <c r="K618" s="133"/>
      <c r="L618" s="134"/>
      <c r="M618" s="334"/>
      <c r="N618" s="343"/>
      <c r="O618" s="135"/>
      <c r="P618" s="82"/>
      <c r="Q618" s="135"/>
      <c r="R618" s="82"/>
      <c r="S618" s="299"/>
      <c r="T618" s="305"/>
      <c r="U618" s="298"/>
      <c r="V618" s="304"/>
      <c r="W618" s="249"/>
      <c r="X618" s="344"/>
      <c r="Y618" s="337"/>
      <c r="Z618" s="33"/>
      <c r="AA618" s="83"/>
      <c r="AB618" s="33"/>
      <c r="AC618" s="83"/>
      <c r="AD618" s="33"/>
      <c r="AE618" s="83"/>
      <c r="AF618" s="33"/>
      <c r="AG618" s="244"/>
      <c r="AH618" s="83"/>
      <c r="AI618" s="246"/>
      <c r="AJ618" s="102"/>
      <c r="AK618" s="92"/>
      <c r="AL618" s="91"/>
      <c r="AM618" s="92"/>
      <c r="AN618" s="351"/>
      <c r="AO618" s="197">
        <f t="shared" si="39"/>
        <v>0</v>
      </c>
      <c r="AP618" s="91"/>
      <c r="AQ618" s="217"/>
      <c r="AR618" s="103"/>
      <c r="AS618" s="264"/>
      <c r="AT618" s="94"/>
      <c r="AU618" s="84"/>
      <c r="AV618" s="136"/>
      <c r="AW618" s="77"/>
      <c r="AX618" s="137"/>
      <c r="AY618" s="138"/>
      <c r="AZ618" s="220">
        <f t="shared" si="36"/>
        <v>0</v>
      </c>
      <c r="BA618" s="220">
        <f t="shared" si="37"/>
        <v>0</v>
      </c>
    </row>
    <row r="619" spans="1:53" ht="50.1" customHeight="1" x14ac:dyDescent="0.25">
      <c r="A619" s="17">
        <f t="shared" si="38"/>
        <v>605</v>
      </c>
      <c r="B619" s="228"/>
      <c r="C619" s="221"/>
      <c r="D619" s="88"/>
      <c r="E619" s="100"/>
      <c r="F619" s="95"/>
      <c r="G619" s="114"/>
      <c r="H619" s="96"/>
      <c r="I619" s="97"/>
      <c r="J619" s="98"/>
      <c r="K619" s="101"/>
      <c r="L619" s="124"/>
      <c r="M619" s="333"/>
      <c r="N619" s="341"/>
      <c r="O619" s="82"/>
      <c r="P619" s="93"/>
      <c r="Q619" s="82"/>
      <c r="R619" s="93"/>
      <c r="S619" s="298"/>
      <c r="T619" s="304"/>
      <c r="U619" s="307"/>
      <c r="V619" s="309"/>
      <c r="W619" s="248"/>
      <c r="X619" s="342"/>
      <c r="Y619" s="336"/>
      <c r="Z619" s="123"/>
      <c r="AA619" s="33"/>
      <c r="AB619" s="123"/>
      <c r="AC619" s="33"/>
      <c r="AD619" s="123"/>
      <c r="AE619" s="33"/>
      <c r="AF619" s="123"/>
      <c r="AG619" s="243"/>
      <c r="AH619" s="33"/>
      <c r="AI619" s="245"/>
      <c r="AJ619" s="125"/>
      <c r="AK619" s="91"/>
      <c r="AL619" s="126"/>
      <c r="AM619" s="91"/>
      <c r="AN619" s="91"/>
      <c r="AO619" s="197">
        <f t="shared" si="39"/>
        <v>0</v>
      </c>
      <c r="AP619" s="126"/>
      <c r="AQ619" s="216"/>
      <c r="AR619" s="127"/>
      <c r="AS619" s="269"/>
      <c r="AT619" s="94"/>
      <c r="AU619" s="84"/>
      <c r="AV619" s="80"/>
      <c r="AW619" s="81"/>
      <c r="AX619" s="77"/>
      <c r="AY619" s="107"/>
      <c r="AZ619" s="220">
        <f t="shared" si="36"/>
        <v>0</v>
      </c>
      <c r="BA619" s="220">
        <f t="shared" si="37"/>
        <v>0</v>
      </c>
    </row>
    <row r="620" spans="1:53" ht="50.1" customHeight="1" x14ac:dyDescent="0.25">
      <c r="A620" s="17">
        <f t="shared" si="38"/>
        <v>606</v>
      </c>
      <c r="B620" s="229"/>
      <c r="C620" s="222"/>
      <c r="D620" s="112"/>
      <c r="E620" s="128"/>
      <c r="F620" s="129"/>
      <c r="G620" s="130"/>
      <c r="H620" s="131"/>
      <c r="I620" s="132"/>
      <c r="J620" s="108"/>
      <c r="K620" s="133"/>
      <c r="L620" s="134"/>
      <c r="M620" s="334"/>
      <c r="N620" s="343"/>
      <c r="O620" s="135"/>
      <c r="P620" s="82"/>
      <c r="Q620" s="135"/>
      <c r="R620" s="82"/>
      <c r="S620" s="299"/>
      <c r="T620" s="305"/>
      <c r="U620" s="298"/>
      <c r="V620" s="304"/>
      <c r="W620" s="249"/>
      <c r="X620" s="344"/>
      <c r="Y620" s="337"/>
      <c r="Z620" s="33"/>
      <c r="AA620" s="83"/>
      <c r="AB620" s="33"/>
      <c r="AC620" s="83"/>
      <c r="AD620" s="33"/>
      <c r="AE620" s="83"/>
      <c r="AF620" s="33"/>
      <c r="AG620" s="244"/>
      <c r="AH620" s="83"/>
      <c r="AI620" s="246"/>
      <c r="AJ620" s="102"/>
      <c r="AK620" s="92"/>
      <c r="AL620" s="91"/>
      <c r="AM620" s="92"/>
      <c r="AN620" s="351"/>
      <c r="AO620" s="197">
        <f t="shared" si="39"/>
        <v>0</v>
      </c>
      <c r="AP620" s="91"/>
      <c r="AQ620" s="217"/>
      <c r="AR620" s="103"/>
      <c r="AS620" s="264"/>
      <c r="AT620" s="94"/>
      <c r="AU620" s="84"/>
      <c r="AV620" s="136"/>
      <c r="AW620" s="77"/>
      <c r="AX620" s="137"/>
      <c r="AY620" s="138"/>
      <c r="AZ620" s="220">
        <f t="shared" si="36"/>
        <v>0</v>
      </c>
      <c r="BA620" s="220">
        <f t="shared" si="37"/>
        <v>0</v>
      </c>
    </row>
    <row r="621" spans="1:53" ht="50.1" customHeight="1" x14ac:dyDescent="0.25">
      <c r="A621" s="17">
        <f t="shared" si="38"/>
        <v>607</v>
      </c>
      <c r="B621" s="228"/>
      <c r="C621" s="221"/>
      <c r="D621" s="88"/>
      <c r="E621" s="100"/>
      <c r="F621" s="95"/>
      <c r="G621" s="114"/>
      <c r="H621" s="96"/>
      <c r="I621" s="97"/>
      <c r="J621" s="98"/>
      <c r="K621" s="101"/>
      <c r="L621" s="124"/>
      <c r="M621" s="333"/>
      <c r="N621" s="341"/>
      <c r="O621" s="82"/>
      <c r="P621" s="93"/>
      <c r="Q621" s="82"/>
      <c r="R621" s="93"/>
      <c r="S621" s="298"/>
      <c r="T621" s="304"/>
      <c r="U621" s="307"/>
      <c r="V621" s="309"/>
      <c r="W621" s="248"/>
      <c r="X621" s="342"/>
      <c r="Y621" s="336"/>
      <c r="Z621" s="123"/>
      <c r="AA621" s="33"/>
      <c r="AB621" s="123"/>
      <c r="AC621" s="33"/>
      <c r="AD621" s="123"/>
      <c r="AE621" s="33"/>
      <c r="AF621" s="123"/>
      <c r="AG621" s="243"/>
      <c r="AH621" s="33"/>
      <c r="AI621" s="245"/>
      <c r="AJ621" s="125"/>
      <c r="AK621" s="91"/>
      <c r="AL621" s="126"/>
      <c r="AM621" s="91"/>
      <c r="AN621" s="91"/>
      <c r="AO621" s="197">
        <f t="shared" si="39"/>
        <v>0</v>
      </c>
      <c r="AP621" s="126"/>
      <c r="AQ621" s="216"/>
      <c r="AR621" s="127"/>
      <c r="AS621" s="269"/>
      <c r="AT621" s="94"/>
      <c r="AU621" s="84"/>
      <c r="AV621" s="80"/>
      <c r="AW621" s="81"/>
      <c r="AX621" s="77"/>
      <c r="AY621" s="107"/>
      <c r="AZ621" s="220">
        <f t="shared" si="36"/>
        <v>0</v>
      </c>
      <c r="BA621" s="220">
        <f t="shared" si="37"/>
        <v>0</v>
      </c>
    </row>
    <row r="622" spans="1:53" ht="50.1" customHeight="1" x14ac:dyDescent="0.25">
      <c r="A622" s="17">
        <f t="shared" si="38"/>
        <v>608</v>
      </c>
      <c r="B622" s="229"/>
      <c r="C622" s="222"/>
      <c r="D622" s="112"/>
      <c r="E622" s="128"/>
      <c r="F622" s="129"/>
      <c r="G622" s="130"/>
      <c r="H622" s="131"/>
      <c r="I622" s="132"/>
      <c r="J622" s="108"/>
      <c r="K622" s="133"/>
      <c r="L622" s="134"/>
      <c r="M622" s="334"/>
      <c r="N622" s="343"/>
      <c r="O622" s="135"/>
      <c r="P622" s="82"/>
      <c r="Q622" s="135"/>
      <c r="R622" s="82"/>
      <c r="S622" s="299"/>
      <c r="T622" s="305"/>
      <c r="U622" s="298"/>
      <c r="V622" s="304"/>
      <c r="W622" s="249"/>
      <c r="X622" s="344"/>
      <c r="Y622" s="337"/>
      <c r="Z622" s="33"/>
      <c r="AA622" s="83"/>
      <c r="AB622" s="33"/>
      <c r="AC622" s="83"/>
      <c r="AD622" s="33"/>
      <c r="AE622" s="83"/>
      <c r="AF622" s="33"/>
      <c r="AG622" s="244"/>
      <c r="AH622" s="83"/>
      <c r="AI622" s="246"/>
      <c r="AJ622" s="102"/>
      <c r="AK622" s="92"/>
      <c r="AL622" s="91"/>
      <c r="AM622" s="92"/>
      <c r="AN622" s="351"/>
      <c r="AO622" s="197">
        <f t="shared" si="39"/>
        <v>0</v>
      </c>
      <c r="AP622" s="91"/>
      <c r="AQ622" s="217"/>
      <c r="AR622" s="103"/>
      <c r="AS622" s="264"/>
      <c r="AT622" s="94"/>
      <c r="AU622" s="84"/>
      <c r="AV622" s="136"/>
      <c r="AW622" s="77"/>
      <c r="AX622" s="137"/>
      <c r="AY622" s="138"/>
      <c r="AZ622" s="220">
        <f t="shared" si="36"/>
        <v>0</v>
      </c>
      <c r="BA622" s="220">
        <f t="shared" si="37"/>
        <v>0</v>
      </c>
    </row>
    <row r="623" spans="1:53" ht="50.1" customHeight="1" x14ac:dyDescent="0.25">
      <c r="A623" s="17">
        <f t="shared" si="38"/>
        <v>609</v>
      </c>
      <c r="B623" s="228"/>
      <c r="C623" s="221"/>
      <c r="D623" s="88"/>
      <c r="E623" s="100"/>
      <c r="F623" s="95"/>
      <c r="G623" s="114"/>
      <c r="H623" s="96"/>
      <c r="I623" s="97"/>
      <c r="J623" s="98"/>
      <c r="K623" s="101"/>
      <c r="L623" s="124"/>
      <c r="M623" s="333"/>
      <c r="N623" s="341"/>
      <c r="O623" s="82"/>
      <c r="P623" s="93"/>
      <c r="Q623" s="82"/>
      <c r="R623" s="93"/>
      <c r="S623" s="298"/>
      <c r="T623" s="304"/>
      <c r="U623" s="307"/>
      <c r="V623" s="309"/>
      <c r="W623" s="248"/>
      <c r="X623" s="342"/>
      <c r="Y623" s="336"/>
      <c r="Z623" s="123"/>
      <c r="AA623" s="33"/>
      <c r="AB623" s="123"/>
      <c r="AC623" s="33"/>
      <c r="AD623" s="123"/>
      <c r="AE623" s="33"/>
      <c r="AF623" s="123"/>
      <c r="AG623" s="243"/>
      <c r="AH623" s="33"/>
      <c r="AI623" s="245"/>
      <c r="AJ623" s="125"/>
      <c r="AK623" s="91"/>
      <c r="AL623" s="126"/>
      <c r="AM623" s="91"/>
      <c r="AN623" s="91"/>
      <c r="AO623" s="197">
        <f t="shared" si="39"/>
        <v>0</v>
      </c>
      <c r="AP623" s="126"/>
      <c r="AQ623" s="216"/>
      <c r="AR623" s="127"/>
      <c r="AS623" s="269"/>
      <c r="AT623" s="94"/>
      <c r="AU623" s="84"/>
      <c r="AV623" s="80"/>
      <c r="AW623" s="81"/>
      <c r="AX623" s="77"/>
      <c r="AY623" s="107"/>
      <c r="AZ623" s="220">
        <f t="shared" si="36"/>
        <v>0</v>
      </c>
      <c r="BA623" s="220">
        <f t="shared" si="37"/>
        <v>0</v>
      </c>
    </row>
    <row r="624" spans="1:53" ht="50.1" customHeight="1" x14ac:dyDescent="0.25">
      <c r="A624" s="17">
        <f t="shared" si="38"/>
        <v>610</v>
      </c>
      <c r="B624" s="229"/>
      <c r="C624" s="222"/>
      <c r="D624" s="112"/>
      <c r="E624" s="128"/>
      <c r="F624" s="129"/>
      <c r="G624" s="130"/>
      <c r="H624" s="131"/>
      <c r="I624" s="132"/>
      <c r="J624" s="108"/>
      <c r="K624" s="133"/>
      <c r="L624" s="134"/>
      <c r="M624" s="334"/>
      <c r="N624" s="343"/>
      <c r="O624" s="135"/>
      <c r="P624" s="82"/>
      <c r="Q624" s="135"/>
      <c r="R624" s="82"/>
      <c r="S624" s="299"/>
      <c r="T624" s="305"/>
      <c r="U624" s="298"/>
      <c r="V624" s="304"/>
      <c r="W624" s="249"/>
      <c r="X624" s="344"/>
      <c r="Y624" s="337"/>
      <c r="Z624" s="33"/>
      <c r="AA624" s="83"/>
      <c r="AB624" s="33"/>
      <c r="AC624" s="83"/>
      <c r="AD624" s="33"/>
      <c r="AE624" s="83"/>
      <c r="AF624" s="33"/>
      <c r="AG624" s="244"/>
      <c r="AH624" s="83"/>
      <c r="AI624" s="246"/>
      <c r="AJ624" s="102"/>
      <c r="AK624" s="92"/>
      <c r="AL624" s="91"/>
      <c r="AM624" s="92"/>
      <c r="AN624" s="351"/>
      <c r="AO624" s="197">
        <f t="shared" si="39"/>
        <v>0</v>
      </c>
      <c r="AP624" s="91"/>
      <c r="AQ624" s="217"/>
      <c r="AR624" s="103"/>
      <c r="AS624" s="264"/>
      <c r="AT624" s="94"/>
      <c r="AU624" s="84"/>
      <c r="AV624" s="136"/>
      <c r="AW624" s="77"/>
      <c r="AX624" s="137"/>
      <c r="AY624" s="138"/>
      <c r="AZ624" s="220">
        <f t="shared" si="36"/>
        <v>0</v>
      </c>
      <c r="BA624" s="220">
        <f t="shared" si="37"/>
        <v>0</v>
      </c>
    </row>
    <row r="625" spans="1:53" ht="50.1" customHeight="1" x14ac:dyDescent="0.25">
      <c r="A625" s="17">
        <f t="shared" si="38"/>
        <v>611</v>
      </c>
      <c r="B625" s="228"/>
      <c r="C625" s="221"/>
      <c r="D625" s="88"/>
      <c r="E625" s="100"/>
      <c r="F625" s="95"/>
      <c r="G625" s="114"/>
      <c r="H625" s="96"/>
      <c r="I625" s="97"/>
      <c r="J625" s="98"/>
      <c r="K625" s="101"/>
      <c r="L625" s="124"/>
      <c r="M625" s="333"/>
      <c r="N625" s="341"/>
      <c r="O625" s="82"/>
      <c r="P625" s="93"/>
      <c r="Q625" s="82"/>
      <c r="R625" s="93"/>
      <c r="S625" s="298"/>
      <c r="T625" s="304"/>
      <c r="U625" s="307"/>
      <c r="V625" s="309"/>
      <c r="W625" s="248"/>
      <c r="X625" s="342"/>
      <c r="Y625" s="336"/>
      <c r="Z625" s="123"/>
      <c r="AA625" s="33"/>
      <c r="AB625" s="123"/>
      <c r="AC625" s="33"/>
      <c r="AD625" s="123"/>
      <c r="AE625" s="33"/>
      <c r="AF625" s="123"/>
      <c r="AG625" s="243"/>
      <c r="AH625" s="33"/>
      <c r="AI625" s="245"/>
      <c r="AJ625" s="125"/>
      <c r="AK625" s="91"/>
      <c r="AL625" s="126"/>
      <c r="AM625" s="91"/>
      <c r="AN625" s="91"/>
      <c r="AO625" s="197">
        <f t="shared" si="39"/>
        <v>0</v>
      </c>
      <c r="AP625" s="126"/>
      <c r="AQ625" s="216"/>
      <c r="AR625" s="127"/>
      <c r="AS625" s="269"/>
      <c r="AT625" s="94"/>
      <c r="AU625" s="84"/>
      <c r="AV625" s="80"/>
      <c r="AW625" s="81"/>
      <c r="AX625" s="77"/>
      <c r="AY625" s="107"/>
      <c r="AZ625" s="220">
        <f t="shared" si="36"/>
        <v>0</v>
      </c>
      <c r="BA625" s="220">
        <f t="shared" si="37"/>
        <v>0</v>
      </c>
    </row>
    <row r="626" spans="1:53" ht="50.1" customHeight="1" x14ac:dyDescent="0.25">
      <c r="A626" s="17">
        <f t="shared" si="38"/>
        <v>612</v>
      </c>
      <c r="B626" s="229"/>
      <c r="C626" s="222"/>
      <c r="D626" s="112"/>
      <c r="E626" s="128"/>
      <c r="F626" s="129"/>
      <c r="G626" s="130"/>
      <c r="H626" s="131"/>
      <c r="I626" s="132"/>
      <c r="J626" s="108"/>
      <c r="K626" s="133"/>
      <c r="L626" s="134"/>
      <c r="M626" s="334"/>
      <c r="N626" s="343"/>
      <c r="O626" s="135"/>
      <c r="P626" s="82"/>
      <c r="Q626" s="135"/>
      <c r="R626" s="82"/>
      <c r="S626" s="299"/>
      <c r="T626" s="305"/>
      <c r="U626" s="298"/>
      <c r="V626" s="304"/>
      <c r="W626" s="249"/>
      <c r="X626" s="344"/>
      <c r="Y626" s="337"/>
      <c r="Z626" s="33"/>
      <c r="AA626" s="83"/>
      <c r="AB626" s="33"/>
      <c r="AC626" s="83"/>
      <c r="AD626" s="33"/>
      <c r="AE626" s="83"/>
      <c r="AF626" s="33"/>
      <c r="AG626" s="244"/>
      <c r="AH626" s="83"/>
      <c r="AI626" s="246"/>
      <c r="AJ626" s="102"/>
      <c r="AK626" s="92"/>
      <c r="AL626" s="91"/>
      <c r="AM626" s="92"/>
      <c r="AN626" s="351"/>
      <c r="AO626" s="197">
        <f t="shared" si="39"/>
        <v>0</v>
      </c>
      <c r="AP626" s="91"/>
      <c r="AQ626" s="217"/>
      <c r="AR626" s="103"/>
      <c r="AS626" s="264"/>
      <c r="AT626" s="94"/>
      <c r="AU626" s="84"/>
      <c r="AV626" s="136"/>
      <c r="AW626" s="77"/>
      <c r="AX626" s="137"/>
      <c r="AY626" s="138"/>
      <c r="AZ626" s="220">
        <f t="shared" si="36"/>
        <v>0</v>
      </c>
      <c r="BA626" s="220">
        <f t="shared" si="37"/>
        <v>0</v>
      </c>
    </row>
    <row r="627" spans="1:53" ht="50.1" customHeight="1" x14ac:dyDescent="0.25">
      <c r="A627" s="17">
        <f t="shared" si="38"/>
        <v>613</v>
      </c>
      <c r="B627" s="228"/>
      <c r="C627" s="221"/>
      <c r="D627" s="88"/>
      <c r="E627" s="100"/>
      <c r="F627" s="95"/>
      <c r="G627" s="114"/>
      <c r="H627" s="96"/>
      <c r="I627" s="97"/>
      <c r="J627" s="98"/>
      <c r="K627" s="101"/>
      <c r="L627" s="124"/>
      <c r="M627" s="333"/>
      <c r="N627" s="341"/>
      <c r="O627" s="82"/>
      <c r="P627" s="93"/>
      <c r="Q627" s="82"/>
      <c r="R627" s="93"/>
      <c r="S627" s="298"/>
      <c r="T627" s="304"/>
      <c r="U627" s="307"/>
      <c r="V627" s="309"/>
      <c r="W627" s="248"/>
      <c r="X627" s="342"/>
      <c r="Y627" s="336"/>
      <c r="Z627" s="123"/>
      <c r="AA627" s="33"/>
      <c r="AB627" s="123"/>
      <c r="AC627" s="33"/>
      <c r="AD627" s="123"/>
      <c r="AE627" s="33"/>
      <c r="AF627" s="123"/>
      <c r="AG627" s="243"/>
      <c r="AH627" s="33"/>
      <c r="AI627" s="245"/>
      <c r="AJ627" s="125"/>
      <c r="AK627" s="91"/>
      <c r="AL627" s="126"/>
      <c r="AM627" s="91"/>
      <c r="AN627" s="91"/>
      <c r="AO627" s="197">
        <f t="shared" si="39"/>
        <v>0</v>
      </c>
      <c r="AP627" s="126"/>
      <c r="AQ627" s="216"/>
      <c r="AR627" s="127"/>
      <c r="AS627" s="269"/>
      <c r="AT627" s="94"/>
      <c r="AU627" s="84"/>
      <c r="AV627" s="80"/>
      <c r="AW627" s="81"/>
      <c r="AX627" s="77"/>
      <c r="AY627" s="107"/>
      <c r="AZ627" s="220">
        <f t="shared" si="36"/>
        <v>0</v>
      </c>
      <c r="BA627" s="220">
        <f t="shared" si="37"/>
        <v>0</v>
      </c>
    </row>
    <row r="628" spans="1:53" ht="50.1" customHeight="1" x14ac:dyDescent="0.25">
      <c r="A628" s="17">
        <f t="shared" si="38"/>
        <v>614</v>
      </c>
      <c r="B628" s="229"/>
      <c r="C628" s="222"/>
      <c r="D628" s="112"/>
      <c r="E628" s="128"/>
      <c r="F628" s="129"/>
      <c r="G628" s="130"/>
      <c r="H628" s="131"/>
      <c r="I628" s="132"/>
      <c r="J628" s="108"/>
      <c r="K628" s="133"/>
      <c r="L628" s="134"/>
      <c r="M628" s="334"/>
      <c r="N628" s="343"/>
      <c r="O628" s="135"/>
      <c r="P628" s="82"/>
      <c r="Q628" s="135"/>
      <c r="R628" s="82"/>
      <c r="S628" s="299"/>
      <c r="T628" s="305"/>
      <c r="U628" s="298"/>
      <c r="V628" s="304"/>
      <c r="W628" s="249"/>
      <c r="X628" s="344"/>
      <c r="Y628" s="337"/>
      <c r="Z628" s="33"/>
      <c r="AA628" s="83"/>
      <c r="AB628" s="33"/>
      <c r="AC628" s="83"/>
      <c r="AD628" s="33"/>
      <c r="AE628" s="83"/>
      <c r="AF628" s="33"/>
      <c r="AG628" s="244"/>
      <c r="AH628" s="83"/>
      <c r="AI628" s="246"/>
      <c r="AJ628" s="102"/>
      <c r="AK628" s="92"/>
      <c r="AL628" s="91"/>
      <c r="AM628" s="92"/>
      <c r="AN628" s="351"/>
      <c r="AO628" s="197">
        <f t="shared" si="39"/>
        <v>0</v>
      </c>
      <c r="AP628" s="91"/>
      <c r="AQ628" s="217"/>
      <c r="AR628" s="103"/>
      <c r="AS628" s="264"/>
      <c r="AT628" s="94"/>
      <c r="AU628" s="84"/>
      <c r="AV628" s="136"/>
      <c r="AW628" s="77"/>
      <c r="AX628" s="137"/>
      <c r="AY628" s="138"/>
      <c r="AZ628" s="220">
        <f t="shared" si="36"/>
        <v>0</v>
      </c>
      <c r="BA628" s="220">
        <f t="shared" si="37"/>
        <v>0</v>
      </c>
    </row>
    <row r="629" spans="1:53" ht="50.1" customHeight="1" x14ac:dyDescent="0.25">
      <c r="A629" s="17">
        <f t="shared" si="38"/>
        <v>615</v>
      </c>
      <c r="B629" s="228"/>
      <c r="C629" s="221"/>
      <c r="D629" s="88"/>
      <c r="E629" s="100"/>
      <c r="F629" s="95"/>
      <c r="G629" s="114"/>
      <c r="H629" s="96"/>
      <c r="I629" s="97"/>
      <c r="J629" s="98"/>
      <c r="K629" s="101"/>
      <c r="L629" s="124"/>
      <c r="M629" s="333"/>
      <c r="N629" s="341"/>
      <c r="O629" s="82"/>
      <c r="P629" s="93"/>
      <c r="Q629" s="82"/>
      <c r="R629" s="93"/>
      <c r="S629" s="298"/>
      <c r="T629" s="304"/>
      <c r="U629" s="307"/>
      <c r="V629" s="309"/>
      <c r="W629" s="248"/>
      <c r="X629" s="342"/>
      <c r="Y629" s="336"/>
      <c r="Z629" s="123"/>
      <c r="AA629" s="33"/>
      <c r="AB629" s="123"/>
      <c r="AC629" s="33"/>
      <c r="AD629" s="123"/>
      <c r="AE629" s="33"/>
      <c r="AF629" s="123"/>
      <c r="AG629" s="243"/>
      <c r="AH629" s="33"/>
      <c r="AI629" s="245"/>
      <c r="AJ629" s="125"/>
      <c r="AK629" s="91"/>
      <c r="AL629" s="126"/>
      <c r="AM629" s="91"/>
      <c r="AN629" s="91"/>
      <c r="AO629" s="197">
        <f t="shared" si="39"/>
        <v>0</v>
      </c>
      <c r="AP629" s="126"/>
      <c r="AQ629" s="216"/>
      <c r="AR629" s="127"/>
      <c r="AS629" s="269"/>
      <c r="AT629" s="94"/>
      <c r="AU629" s="84"/>
      <c r="AV629" s="80"/>
      <c r="AW629" s="81"/>
      <c r="AX629" s="77"/>
      <c r="AY629" s="107"/>
      <c r="AZ629" s="220">
        <f t="shared" si="36"/>
        <v>0</v>
      </c>
      <c r="BA629" s="220">
        <f t="shared" si="37"/>
        <v>0</v>
      </c>
    </row>
    <row r="630" spans="1:53" ht="50.1" customHeight="1" x14ac:dyDescent="0.25">
      <c r="A630" s="17">
        <f t="shared" si="38"/>
        <v>616</v>
      </c>
      <c r="B630" s="229"/>
      <c r="C630" s="222"/>
      <c r="D630" s="112"/>
      <c r="E630" s="128"/>
      <c r="F630" s="129"/>
      <c r="G630" s="130"/>
      <c r="H630" s="131"/>
      <c r="I630" s="132"/>
      <c r="J630" s="108"/>
      <c r="K630" s="133"/>
      <c r="L630" s="134"/>
      <c r="M630" s="334"/>
      <c r="N630" s="343"/>
      <c r="O630" s="135"/>
      <c r="P630" s="82"/>
      <c r="Q630" s="135"/>
      <c r="R630" s="82"/>
      <c r="S630" s="299"/>
      <c r="T630" s="305"/>
      <c r="U630" s="298"/>
      <c r="V630" s="304"/>
      <c r="W630" s="249"/>
      <c r="X630" s="344"/>
      <c r="Y630" s="337"/>
      <c r="Z630" s="33"/>
      <c r="AA630" s="83"/>
      <c r="AB630" s="33"/>
      <c r="AC630" s="83"/>
      <c r="AD630" s="33"/>
      <c r="AE630" s="83"/>
      <c r="AF630" s="33"/>
      <c r="AG630" s="244"/>
      <c r="AH630" s="83"/>
      <c r="AI630" s="246"/>
      <c r="AJ630" s="102"/>
      <c r="AK630" s="92"/>
      <c r="AL630" s="91"/>
      <c r="AM630" s="92"/>
      <c r="AN630" s="351"/>
      <c r="AO630" s="197">
        <f t="shared" si="39"/>
        <v>0</v>
      </c>
      <c r="AP630" s="91"/>
      <c r="AQ630" s="217"/>
      <c r="AR630" s="103"/>
      <c r="AS630" s="264"/>
      <c r="AT630" s="94"/>
      <c r="AU630" s="84"/>
      <c r="AV630" s="136"/>
      <c r="AW630" s="77"/>
      <c r="AX630" s="137"/>
      <c r="AY630" s="138"/>
      <c r="AZ630" s="220">
        <f t="shared" si="36"/>
        <v>0</v>
      </c>
      <c r="BA630" s="220">
        <f t="shared" si="37"/>
        <v>0</v>
      </c>
    </row>
    <row r="631" spans="1:53" ht="50.1" customHeight="1" x14ac:dyDescent="0.25">
      <c r="A631" s="17">
        <f t="shared" si="38"/>
        <v>617</v>
      </c>
      <c r="B631" s="228"/>
      <c r="C631" s="221"/>
      <c r="D631" s="88"/>
      <c r="E631" s="100"/>
      <c r="F631" s="95"/>
      <c r="G631" s="114"/>
      <c r="H631" s="96"/>
      <c r="I631" s="97"/>
      <c r="J631" s="98"/>
      <c r="K631" s="101"/>
      <c r="L631" s="124"/>
      <c r="M631" s="333"/>
      <c r="N631" s="341"/>
      <c r="O631" s="82"/>
      <c r="P631" s="93"/>
      <c r="Q631" s="82"/>
      <c r="R631" s="93"/>
      <c r="S631" s="298"/>
      <c r="T631" s="304"/>
      <c r="U631" s="307"/>
      <c r="V631" s="309"/>
      <c r="W631" s="248"/>
      <c r="X631" s="342"/>
      <c r="Y631" s="336"/>
      <c r="Z631" s="123"/>
      <c r="AA631" s="33"/>
      <c r="AB631" s="123"/>
      <c r="AC631" s="33"/>
      <c r="AD631" s="123"/>
      <c r="AE631" s="33"/>
      <c r="AF631" s="123"/>
      <c r="AG631" s="243"/>
      <c r="AH631" s="33"/>
      <c r="AI631" s="245"/>
      <c r="AJ631" s="125"/>
      <c r="AK631" s="91"/>
      <c r="AL631" s="126"/>
      <c r="AM631" s="91"/>
      <c r="AN631" s="91"/>
      <c r="AO631" s="197">
        <f t="shared" si="39"/>
        <v>0</v>
      </c>
      <c r="AP631" s="126"/>
      <c r="AQ631" s="216"/>
      <c r="AR631" s="127"/>
      <c r="AS631" s="269"/>
      <c r="AT631" s="94"/>
      <c r="AU631" s="84"/>
      <c r="AV631" s="80"/>
      <c r="AW631" s="81"/>
      <c r="AX631" s="77"/>
      <c r="AY631" s="107"/>
      <c r="AZ631" s="220">
        <f t="shared" si="36"/>
        <v>0</v>
      </c>
      <c r="BA631" s="220">
        <f t="shared" si="37"/>
        <v>0</v>
      </c>
    </row>
    <row r="632" spans="1:53" ht="50.1" customHeight="1" x14ac:dyDescent="0.25">
      <c r="A632" s="17">
        <f t="shared" si="38"/>
        <v>618</v>
      </c>
      <c r="B632" s="229"/>
      <c r="C632" s="222"/>
      <c r="D632" s="112"/>
      <c r="E632" s="128"/>
      <c r="F632" s="129"/>
      <c r="G632" s="130"/>
      <c r="H632" s="131"/>
      <c r="I632" s="132"/>
      <c r="J632" s="108"/>
      <c r="K632" s="133"/>
      <c r="L632" s="134"/>
      <c r="M632" s="334"/>
      <c r="N632" s="343"/>
      <c r="O632" s="135"/>
      <c r="P632" s="82"/>
      <c r="Q632" s="135"/>
      <c r="R632" s="82"/>
      <c r="S632" s="299"/>
      <c r="T632" s="305"/>
      <c r="U632" s="298"/>
      <c r="V632" s="304"/>
      <c r="W632" s="249"/>
      <c r="X632" s="344"/>
      <c r="Y632" s="337"/>
      <c r="Z632" s="33"/>
      <c r="AA632" s="83"/>
      <c r="AB632" s="33"/>
      <c r="AC632" s="83"/>
      <c r="AD632" s="33"/>
      <c r="AE632" s="83"/>
      <c r="AF632" s="33"/>
      <c r="AG632" s="244"/>
      <c r="AH632" s="83"/>
      <c r="AI632" s="246"/>
      <c r="AJ632" s="102"/>
      <c r="AK632" s="92"/>
      <c r="AL632" s="91"/>
      <c r="AM632" s="92"/>
      <c r="AN632" s="351"/>
      <c r="AO632" s="197">
        <f t="shared" si="39"/>
        <v>0</v>
      </c>
      <c r="AP632" s="91"/>
      <c r="AQ632" s="217"/>
      <c r="AR632" s="103"/>
      <c r="AS632" s="264"/>
      <c r="AT632" s="94"/>
      <c r="AU632" s="84"/>
      <c r="AV632" s="136"/>
      <c r="AW632" s="77"/>
      <c r="AX632" s="137"/>
      <c r="AY632" s="138"/>
      <c r="AZ632" s="220">
        <f t="shared" si="36"/>
        <v>0</v>
      </c>
      <c r="BA632" s="220">
        <f t="shared" si="37"/>
        <v>0</v>
      </c>
    </row>
    <row r="633" spans="1:53" ht="50.1" customHeight="1" x14ac:dyDescent="0.25">
      <c r="A633" s="17">
        <f t="shared" si="38"/>
        <v>619</v>
      </c>
      <c r="B633" s="228"/>
      <c r="C633" s="221"/>
      <c r="D633" s="88"/>
      <c r="E633" s="100"/>
      <c r="F633" s="95"/>
      <c r="G633" s="114"/>
      <c r="H633" s="96"/>
      <c r="I633" s="97"/>
      <c r="J633" s="98"/>
      <c r="K633" s="101"/>
      <c r="L633" s="124"/>
      <c r="M633" s="333"/>
      <c r="N633" s="341"/>
      <c r="O633" s="82"/>
      <c r="P633" s="93"/>
      <c r="Q633" s="82"/>
      <c r="R633" s="93"/>
      <c r="S633" s="298"/>
      <c r="T633" s="304"/>
      <c r="U633" s="307"/>
      <c r="V633" s="309"/>
      <c r="W633" s="248"/>
      <c r="X633" s="342"/>
      <c r="Y633" s="336"/>
      <c r="Z633" s="123"/>
      <c r="AA633" s="33"/>
      <c r="AB633" s="123"/>
      <c r="AC633" s="33"/>
      <c r="AD633" s="123"/>
      <c r="AE633" s="33"/>
      <c r="AF633" s="123"/>
      <c r="AG633" s="243"/>
      <c r="AH633" s="33"/>
      <c r="AI633" s="245"/>
      <c r="AJ633" s="125"/>
      <c r="AK633" s="91"/>
      <c r="AL633" s="126"/>
      <c r="AM633" s="91"/>
      <c r="AN633" s="91"/>
      <c r="AO633" s="197">
        <f t="shared" si="39"/>
        <v>0</v>
      </c>
      <c r="AP633" s="126"/>
      <c r="AQ633" s="216"/>
      <c r="AR633" s="127"/>
      <c r="AS633" s="269"/>
      <c r="AT633" s="94"/>
      <c r="AU633" s="84"/>
      <c r="AV633" s="80"/>
      <c r="AW633" s="81"/>
      <c r="AX633" s="77"/>
      <c r="AY633" s="107"/>
      <c r="AZ633" s="220">
        <f t="shared" si="36"/>
        <v>0</v>
      </c>
      <c r="BA633" s="220">
        <f t="shared" si="37"/>
        <v>0</v>
      </c>
    </row>
    <row r="634" spans="1:53" ht="50.1" customHeight="1" x14ac:dyDescent="0.25">
      <c r="A634" s="17">
        <f t="shared" si="38"/>
        <v>620</v>
      </c>
      <c r="B634" s="229"/>
      <c r="C634" s="222"/>
      <c r="D634" s="112"/>
      <c r="E634" s="128"/>
      <c r="F634" s="129"/>
      <c r="G634" s="130"/>
      <c r="H634" s="131"/>
      <c r="I634" s="132"/>
      <c r="J634" s="108"/>
      <c r="K634" s="133"/>
      <c r="L634" s="134"/>
      <c r="M634" s="334"/>
      <c r="N634" s="343"/>
      <c r="O634" s="135"/>
      <c r="P634" s="82"/>
      <c r="Q634" s="135"/>
      <c r="R634" s="82"/>
      <c r="S634" s="299"/>
      <c r="T634" s="305"/>
      <c r="U634" s="298"/>
      <c r="V634" s="304"/>
      <c r="W634" s="249"/>
      <c r="X634" s="344"/>
      <c r="Y634" s="337"/>
      <c r="Z634" s="33"/>
      <c r="AA634" s="83"/>
      <c r="AB634" s="33"/>
      <c r="AC634" s="83"/>
      <c r="AD634" s="33"/>
      <c r="AE634" s="83"/>
      <c r="AF634" s="33"/>
      <c r="AG634" s="244"/>
      <c r="AH634" s="83"/>
      <c r="AI634" s="246"/>
      <c r="AJ634" s="102"/>
      <c r="AK634" s="92"/>
      <c r="AL634" s="91"/>
      <c r="AM634" s="92"/>
      <c r="AN634" s="351"/>
      <c r="AO634" s="197">
        <f t="shared" si="39"/>
        <v>0</v>
      </c>
      <c r="AP634" s="91"/>
      <c r="AQ634" s="217"/>
      <c r="AR634" s="103"/>
      <c r="AS634" s="264"/>
      <c r="AT634" s="94"/>
      <c r="AU634" s="84"/>
      <c r="AV634" s="136"/>
      <c r="AW634" s="77"/>
      <c r="AX634" s="137"/>
      <c r="AY634" s="138"/>
      <c r="AZ634" s="220">
        <f t="shared" si="36"/>
        <v>0</v>
      </c>
      <c r="BA634" s="220">
        <f t="shared" si="37"/>
        <v>0</v>
      </c>
    </row>
    <row r="635" spans="1:53" ht="50.1" customHeight="1" x14ac:dyDescent="0.25">
      <c r="A635" s="17">
        <f t="shared" si="38"/>
        <v>621</v>
      </c>
      <c r="B635" s="228"/>
      <c r="C635" s="221"/>
      <c r="D635" s="88"/>
      <c r="E635" s="100"/>
      <c r="F635" s="95"/>
      <c r="G635" s="114"/>
      <c r="H635" s="96"/>
      <c r="I635" s="97"/>
      <c r="J635" s="98"/>
      <c r="K635" s="101"/>
      <c r="L635" s="124"/>
      <c r="M635" s="333"/>
      <c r="N635" s="341"/>
      <c r="O635" s="82"/>
      <c r="P635" s="93"/>
      <c r="Q635" s="82"/>
      <c r="R635" s="93"/>
      <c r="S635" s="298"/>
      <c r="T635" s="304"/>
      <c r="U635" s="307"/>
      <c r="V635" s="309"/>
      <c r="W635" s="248"/>
      <c r="X635" s="342"/>
      <c r="Y635" s="336"/>
      <c r="Z635" s="123"/>
      <c r="AA635" s="33"/>
      <c r="AB635" s="123"/>
      <c r="AC635" s="33"/>
      <c r="AD635" s="123"/>
      <c r="AE635" s="33"/>
      <c r="AF635" s="123"/>
      <c r="AG635" s="243"/>
      <c r="AH635" s="33"/>
      <c r="AI635" s="245"/>
      <c r="AJ635" s="125"/>
      <c r="AK635" s="91"/>
      <c r="AL635" s="126"/>
      <c r="AM635" s="91"/>
      <c r="AN635" s="91"/>
      <c r="AO635" s="197">
        <f t="shared" si="39"/>
        <v>0</v>
      </c>
      <c r="AP635" s="126"/>
      <c r="AQ635" s="216"/>
      <c r="AR635" s="127"/>
      <c r="AS635" s="269"/>
      <c r="AT635" s="94"/>
      <c r="AU635" s="84"/>
      <c r="AV635" s="80"/>
      <c r="AW635" s="81"/>
      <c r="AX635" s="77"/>
      <c r="AY635" s="107"/>
      <c r="AZ635" s="220">
        <f t="shared" si="36"/>
        <v>0</v>
      </c>
      <c r="BA635" s="220">
        <f t="shared" si="37"/>
        <v>0</v>
      </c>
    </row>
    <row r="636" spans="1:53" ht="50.1" customHeight="1" x14ac:dyDescent="0.25">
      <c r="A636" s="17">
        <f t="shared" si="38"/>
        <v>622</v>
      </c>
      <c r="B636" s="229"/>
      <c r="C636" s="222"/>
      <c r="D636" s="112"/>
      <c r="E636" s="128"/>
      <c r="F636" s="129"/>
      <c r="G636" s="130"/>
      <c r="H636" s="131"/>
      <c r="I636" s="132"/>
      <c r="J636" s="108"/>
      <c r="K636" s="133"/>
      <c r="L636" s="134"/>
      <c r="M636" s="334"/>
      <c r="N636" s="343"/>
      <c r="O636" s="135"/>
      <c r="P636" s="82"/>
      <c r="Q636" s="135"/>
      <c r="R636" s="82"/>
      <c r="S636" s="299"/>
      <c r="T636" s="305"/>
      <c r="U636" s="298"/>
      <c r="V636" s="304"/>
      <c r="W636" s="249"/>
      <c r="X636" s="344"/>
      <c r="Y636" s="337"/>
      <c r="Z636" s="33"/>
      <c r="AA636" s="83"/>
      <c r="AB636" s="33"/>
      <c r="AC636" s="83"/>
      <c r="AD636" s="33"/>
      <c r="AE636" s="83"/>
      <c r="AF636" s="33"/>
      <c r="AG636" s="244"/>
      <c r="AH636" s="83"/>
      <c r="AI636" s="246"/>
      <c r="AJ636" s="102"/>
      <c r="AK636" s="92"/>
      <c r="AL636" s="91"/>
      <c r="AM636" s="92"/>
      <c r="AN636" s="351"/>
      <c r="AO636" s="197">
        <f t="shared" si="39"/>
        <v>0</v>
      </c>
      <c r="AP636" s="91"/>
      <c r="AQ636" s="217"/>
      <c r="AR636" s="103"/>
      <c r="AS636" s="264"/>
      <c r="AT636" s="94"/>
      <c r="AU636" s="84"/>
      <c r="AV636" s="136"/>
      <c r="AW636" s="77"/>
      <c r="AX636" s="137"/>
      <c r="AY636" s="138"/>
      <c r="AZ636" s="220">
        <f t="shared" si="36"/>
        <v>0</v>
      </c>
      <c r="BA636" s="220">
        <f t="shared" si="37"/>
        <v>0</v>
      </c>
    </row>
    <row r="637" spans="1:53" ht="50.1" customHeight="1" x14ac:dyDescent="0.25">
      <c r="A637" s="17">
        <f t="shared" si="38"/>
        <v>623</v>
      </c>
      <c r="B637" s="228"/>
      <c r="C637" s="221"/>
      <c r="D637" s="88"/>
      <c r="E637" s="100"/>
      <c r="F637" s="95"/>
      <c r="G637" s="114"/>
      <c r="H637" s="96"/>
      <c r="I637" s="97"/>
      <c r="J637" s="98"/>
      <c r="K637" s="101"/>
      <c r="L637" s="124"/>
      <c r="M637" s="333"/>
      <c r="N637" s="341"/>
      <c r="O637" s="82"/>
      <c r="P637" s="93"/>
      <c r="Q637" s="82"/>
      <c r="R637" s="93"/>
      <c r="S637" s="298"/>
      <c r="T637" s="304"/>
      <c r="U637" s="307"/>
      <c r="V637" s="309"/>
      <c r="W637" s="248"/>
      <c r="X637" s="342"/>
      <c r="Y637" s="336"/>
      <c r="Z637" s="123"/>
      <c r="AA637" s="33"/>
      <c r="AB637" s="123"/>
      <c r="AC637" s="33"/>
      <c r="AD637" s="123"/>
      <c r="AE637" s="33"/>
      <c r="AF637" s="123"/>
      <c r="AG637" s="243"/>
      <c r="AH637" s="33"/>
      <c r="AI637" s="245"/>
      <c r="AJ637" s="125"/>
      <c r="AK637" s="91"/>
      <c r="AL637" s="126"/>
      <c r="AM637" s="91"/>
      <c r="AN637" s="91"/>
      <c r="AO637" s="197">
        <f t="shared" si="39"/>
        <v>0</v>
      </c>
      <c r="AP637" s="126"/>
      <c r="AQ637" s="216"/>
      <c r="AR637" s="127"/>
      <c r="AS637" s="269"/>
      <c r="AT637" s="94"/>
      <c r="AU637" s="84"/>
      <c r="AV637" s="80"/>
      <c r="AW637" s="81"/>
      <c r="AX637" s="77"/>
      <c r="AY637" s="107"/>
      <c r="AZ637" s="220">
        <f t="shared" si="36"/>
        <v>0</v>
      </c>
      <c r="BA637" s="220">
        <f t="shared" si="37"/>
        <v>0</v>
      </c>
    </row>
    <row r="638" spans="1:53" ht="50.1" customHeight="1" x14ac:dyDescent="0.25">
      <c r="A638" s="17">
        <f t="shared" si="38"/>
        <v>624</v>
      </c>
      <c r="B638" s="229"/>
      <c r="C638" s="222"/>
      <c r="D638" s="112"/>
      <c r="E638" s="128"/>
      <c r="F638" s="129"/>
      <c r="G638" s="130"/>
      <c r="H638" s="131"/>
      <c r="I638" s="132"/>
      <c r="J638" s="108"/>
      <c r="K638" s="133"/>
      <c r="L638" s="134"/>
      <c r="M638" s="334"/>
      <c r="N638" s="343"/>
      <c r="O638" s="135"/>
      <c r="P638" s="82"/>
      <c r="Q638" s="135"/>
      <c r="R638" s="82"/>
      <c r="S638" s="299"/>
      <c r="T638" s="305"/>
      <c r="U638" s="298"/>
      <c r="V638" s="304"/>
      <c r="W638" s="249"/>
      <c r="X638" s="344"/>
      <c r="Y638" s="337"/>
      <c r="Z638" s="33"/>
      <c r="AA638" s="83"/>
      <c r="AB638" s="33"/>
      <c r="AC638" s="83"/>
      <c r="AD638" s="33"/>
      <c r="AE638" s="83"/>
      <c r="AF638" s="33"/>
      <c r="AG638" s="244"/>
      <c r="AH638" s="83"/>
      <c r="AI638" s="246"/>
      <c r="AJ638" s="102"/>
      <c r="AK638" s="92"/>
      <c r="AL638" s="91"/>
      <c r="AM638" s="92"/>
      <c r="AN638" s="351"/>
      <c r="AO638" s="197">
        <f t="shared" si="39"/>
        <v>0</v>
      </c>
      <c r="AP638" s="91"/>
      <c r="AQ638" s="217"/>
      <c r="AR638" s="103"/>
      <c r="AS638" s="264"/>
      <c r="AT638" s="94"/>
      <c r="AU638" s="84"/>
      <c r="AV638" s="136"/>
      <c r="AW638" s="77"/>
      <c r="AX638" s="137"/>
      <c r="AY638" s="138"/>
      <c r="AZ638" s="220">
        <f t="shared" si="36"/>
        <v>0</v>
      </c>
      <c r="BA638" s="220">
        <f t="shared" si="37"/>
        <v>0</v>
      </c>
    </row>
    <row r="639" spans="1:53" ht="50.1" customHeight="1" x14ac:dyDescent="0.25">
      <c r="A639" s="17">
        <f t="shared" si="38"/>
        <v>625</v>
      </c>
      <c r="B639" s="228"/>
      <c r="C639" s="221"/>
      <c r="D639" s="88"/>
      <c r="E639" s="100"/>
      <c r="F639" s="95"/>
      <c r="G639" s="114"/>
      <c r="H639" s="96"/>
      <c r="I639" s="97"/>
      <c r="J639" s="98"/>
      <c r="K639" s="101"/>
      <c r="L639" s="124"/>
      <c r="M639" s="333"/>
      <c r="N639" s="341"/>
      <c r="O639" s="82"/>
      <c r="P639" s="93"/>
      <c r="Q639" s="82"/>
      <c r="R639" s="93"/>
      <c r="S639" s="298"/>
      <c r="T639" s="304"/>
      <c r="U639" s="307"/>
      <c r="V639" s="309"/>
      <c r="W639" s="248"/>
      <c r="X639" s="342"/>
      <c r="Y639" s="336"/>
      <c r="Z639" s="123"/>
      <c r="AA639" s="33"/>
      <c r="AB639" s="123"/>
      <c r="AC639" s="33"/>
      <c r="AD639" s="123"/>
      <c r="AE639" s="33"/>
      <c r="AF639" s="123"/>
      <c r="AG639" s="243"/>
      <c r="AH639" s="33"/>
      <c r="AI639" s="245"/>
      <c r="AJ639" s="125"/>
      <c r="AK639" s="91"/>
      <c r="AL639" s="126"/>
      <c r="AM639" s="91"/>
      <c r="AN639" s="91"/>
      <c r="AO639" s="197">
        <f t="shared" si="39"/>
        <v>0</v>
      </c>
      <c r="AP639" s="126"/>
      <c r="AQ639" s="216"/>
      <c r="AR639" s="127"/>
      <c r="AS639" s="269"/>
      <c r="AT639" s="94"/>
      <c r="AU639" s="84"/>
      <c r="AV639" s="80"/>
      <c r="AW639" s="81"/>
      <c r="AX639" s="77"/>
      <c r="AY639" s="107"/>
      <c r="AZ639" s="220">
        <f t="shared" si="36"/>
        <v>0</v>
      </c>
      <c r="BA639" s="220">
        <f t="shared" si="37"/>
        <v>0</v>
      </c>
    </row>
    <row r="640" spans="1:53" ht="50.1" customHeight="1" x14ac:dyDescent="0.25">
      <c r="A640" s="17">
        <f t="shared" si="38"/>
        <v>626</v>
      </c>
      <c r="B640" s="229"/>
      <c r="C640" s="222"/>
      <c r="D640" s="112"/>
      <c r="E640" s="128"/>
      <c r="F640" s="129"/>
      <c r="G640" s="130"/>
      <c r="H640" s="131"/>
      <c r="I640" s="132"/>
      <c r="J640" s="108"/>
      <c r="K640" s="133"/>
      <c r="L640" s="134"/>
      <c r="M640" s="334"/>
      <c r="N640" s="343"/>
      <c r="O640" s="135"/>
      <c r="P640" s="82"/>
      <c r="Q640" s="135"/>
      <c r="R640" s="82"/>
      <c r="S640" s="299"/>
      <c r="T640" s="305"/>
      <c r="U640" s="298"/>
      <c r="V640" s="304"/>
      <c r="W640" s="249"/>
      <c r="X640" s="344"/>
      <c r="Y640" s="337"/>
      <c r="Z640" s="33"/>
      <c r="AA640" s="83"/>
      <c r="AB640" s="33"/>
      <c r="AC640" s="83"/>
      <c r="AD640" s="33"/>
      <c r="AE640" s="83"/>
      <c r="AF640" s="33"/>
      <c r="AG640" s="244"/>
      <c r="AH640" s="83"/>
      <c r="AI640" s="246"/>
      <c r="AJ640" s="102"/>
      <c r="AK640" s="92"/>
      <c r="AL640" s="91"/>
      <c r="AM640" s="92"/>
      <c r="AN640" s="351"/>
      <c r="AO640" s="197">
        <f t="shared" si="39"/>
        <v>0</v>
      </c>
      <c r="AP640" s="91"/>
      <c r="AQ640" s="217"/>
      <c r="AR640" s="103"/>
      <c r="AS640" s="264"/>
      <c r="AT640" s="94"/>
      <c r="AU640" s="84"/>
      <c r="AV640" s="136"/>
      <c r="AW640" s="77"/>
      <c r="AX640" s="137"/>
      <c r="AY640" s="138"/>
      <c r="AZ640" s="220">
        <f t="shared" si="36"/>
        <v>0</v>
      </c>
      <c r="BA640" s="220">
        <f t="shared" si="37"/>
        <v>0</v>
      </c>
    </row>
    <row r="641" spans="1:53" ht="50.1" customHeight="1" x14ac:dyDescent="0.25">
      <c r="A641" s="17">
        <f t="shared" si="38"/>
        <v>627</v>
      </c>
      <c r="B641" s="228"/>
      <c r="C641" s="221"/>
      <c r="D641" s="88"/>
      <c r="E641" s="100"/>
      <c r="F641" s="95"/>
      <c r="G641" s="114"/>
      <c r="H641" s="96"/>
      <c r="I641" s="97"/>
      <c r="J641" s="98"/>
      <c r="K641" s="101"/>
      <c r="L641" s="124"/>
      <c r="M641" s="333"/>
      <c r="N641" s="341"/>
      <c r="O641" s="82"/>
      <c r="P641" s="93"/>
      <c r="Q641" s="82"/>
      <c r="R641" s="93"/>
      <c r="S641" s="298"/>
      <c r="T641" s="304"/>
      <c r="U641" s="307"/>
      <c r="V641" s="309"/>
      <c r="W641" s="248"/>
      <c r="X641" s="342"/>
      <c r="Y641" s="336"/>
      <c r="Z641" s="123"/>
      <c r="AA641" s="33"/>
      <c r="AB641" s="123"/>
      <c r="AC641" s="33"/>
      <c r="AD641" s="123"/>
      <c r="AE641" s="33"/>
      <c r="AF641" s="123"/>
      <c r="AG641" s="243"/>
      <c r="AH641" s="33"/>
      <c r="AI641" s="245"/>
      <c r="AJ641" s="125"/>
      <c r="AK641" s="91"/>
      <c r="AL641" s="126"/>
      <c r="AM641" s="91"/>
      <c r="AN641" s="91"/>
      <c r="AO641" s="197">
        <f t="shared" si="39"/>
        <v>0</v>
      </c>
      <c r="AP641" s="126"/>
      <c r="AQ641" s="216"/>
      <c r="AR641" s="127"/>
      <c r="AS641" s="269"/>
      <c r="AT641" s="94"/>
      <c r="AU641" s="84"/>
      <c r="AV641" s="80"/>
      <c r="AW641" s="81"/>
      <c r="AX641" s="77"/>
      <c r="AY641" s="107"/>
      <c r="AZ641" s="220">
        <f t="shared" si="36"/>
        <v>0</v>
      </c>
      <c r="BA641" s="220">
        <f t="shared" si="37"/>
        <v>0</v>
      </c>
    </row>
    <row r="642" spans="1:53" ht="50.1" customHeight="1" x14ac:dyDescent="0.25">
      <c r="A642" s="17">
        <f t="shared" si="38"/>
        <v>628</v>
      </c>
      <c r="B642" s="229"/>
      <c r="C642" s="222"/>
      <c r="D642" s="112"/>
      <c r="E642" s="128"/>
      <c r="F642" s="129"/>
      <c r="G642" s="130"/>
      <c r="H642" s="131"/>
      <c r="I642" s="132"/>
      <c r="J642" s="108"/>
      <c r="K642" s="133"/>
      <c r="L642" s="134"/>
      <c r="M642" s="334"/>
      <c r="N642" s="343"/>
      <c r="O642" s="135"/>
      <c r="P642" s="82"/>
      <c r="Q642" s="135"/>
      <c r="R642" s="82"/>
      <c r="S642" s="299"/>
      <c r="T642" s="305"/>
      <c r="U642" s="298"/>
      <c r="V642" s="304"/>
      <c r="W642" s="249"/>
      <c r="X642" s="344"/>
      <c r="Y642" s="337"/>
      <c r="Z642" s="33"/>
      <c r="AA642" s="83"/>
      <c r="AB642" s="33"/>
      <c r="AC642" s="83"/>
      <c r="AD642" s="33"/>
      <c r="AE642" s="83"/>
      <c r="AF642" s="33"/>
      <c r="AG642" s="244"/>
      <c r="AH642" s="83"/>
      <c r="AI642" s="246"/>
      <c r="AJ642" s="102"/>
      <c r="AK642" s="92"/>
      <c r="AL642" s="91"/>
      <c r="AM642" s="92"/>
      <c r="AN642" s="351"/>
      <c r="AO642" s="197">
        <f t="shared" si="39"/>
        <v>0</v>
      </c>
      <c r="AP642" s="91"/>
      <c r="AQ642" s="217"/>
      <c r="AR642" s="103"/>
      <c r="AS642" s="264"/>
      <c r="AT642" s="94"/>
      <c r="AU642" s="84"/>
      <c r="AV642" s="136"/>
      <c r="AW642" s="77"/>
      <c r="AX642" s="137"/>
      <c r="AY642" s="138"/>
      <c r="AZ642" s="220">
        <f t="shared" si="36"/>
        <v>0</v>
      </c>
      <c r="BA642" s="220">
        <f t="shared" si="37"/>
        <v>0</v>
      </c>
    </row>
    <row r="643" spans="1:53" ht="50.1" customHeight="1" x14ac:dyDescent="0.25">
      <c r="A643" s="17">
        <f t="shared" si="38"/>
        <v>629</v>
      </c>
      <c r="B643" s="228"/>
      <c r="C643" s="221"/>
      <c r="D643" s="88"/>
      <c r="E643" s="100"/>
      <c r="F643" s="95"/>
      <c r="G643" s="114"/>
      <c r="H643" s="96"/>
      <c r="I643" s="97"/>
      <c r="J643" s="98"/>
      <c r="K643" s="101"/>
      <c r="L643" s="124"/>
      <c r="M643" s="333"/>
      <c r="N643" s="341"/>
      <c r="O643" s="82"/>
      <c r="P643" s="93"/>
      <c r="Q643" s="82"/>
      <c r="R643" s="93"/>
      <c r="S643" s="298"/>
      <c r="T643" s="304"/>
      <c r="U643" s="307"/>
      <c r="V643" s="309"/>
      <c r="W643" s="248"/>
      <c r="X643" s="342"/>
      <c r="Y643" s="336"/>
      <c r="Z643" s="123"/>
      <c r="AA643" s="33"/>
      <c r="AB643" s="123"/>
      <c r="AC643" s="33"/>
      <c r="AD643" s="123"/>
      <c r="AE643" s="33"/>
      <c r="AF643" s="123"/>
      <c r="AG643" s="243"/>
      <c r="AH643" s="33"/>
      <c r="AI643" s="245"/>
      <c r="AJ643" s="125"/>
      <c r="AK643" s="91"/>
      <c r="AL643" s="126"/>
      <c r="AM643" s="91"/>
      <c r="AN643" s="91"/>
      <c r="AO643" s="197">
        <f t="shared" si="39"/>
        <v>0</v>
      </c>
      <c r="AP643" s="126"/>
      <c r="AQ643" s="216"/>
      <c r="AR643" s="127"/>
      <c r="AS643" s="269"/>
      <c r="AT643" s="94"/>
      <c r="AU643" s="84"/>
      <c r="AV643" s="80"/>
      <c r="AW643" s="81"/>
      <c r="AX643" s="77"/>
      <c r="AY643" s="107"/>
      <c r="AZ643" s="220">
        <f t="shared" si="36"/>
        <v>0</v>
      </c>
      <c r="BA643" s="220">
        <f t="shared" si="37"/>
        <v>0</v>
      </c>
    </row>
    <row r="644" spans="1:53" ht="50.1" customHeight="1" x14ac:dyDescent="0.25">
      <c r="A644" s="17">
        <f t="shared" si="38"/>
        <v>630</v>
      </c>
      <c r="B644" s="229"/>
      <c r="C644" s="222"/>
      <c r="D644" s="112"/>
      <c r="E644" s="128"/>
      <c r="F644" s="129"/>
      <c r="G644" s="130"/>
      <c r="H644" s="131"/>
      <c r="I644" s="132"/>
      <c r="J644" s="108"/>
      <c r="K644" s="133"/>
      <c r="L644" s="134"/>
      <c r="M644" s="334"/>
      <c r="N644" s="343"/>
      <c r="O644" s="135"/>
      <c r="P644" s="82"/>
      <c r="Q644" s="135"/>
      <c r="R644" s="82"/>
      <c r="S644" s="299"/>
      <c r="T644" s="305"/>
      <c r="U644" s="298"/>
      <c r="V644" s="304"/>
      <c r="W644" s="249"/>
      <c r="X644" s="344"/>
      <c r="Y644" s="337"/>
      <c r="Z644" s="33"/>
      <c r="AA644" s="83"/>
      <c r="AB644" s="33"/>
      <c r="AC644" s="83"/>
      <c r="AD644" s="33"/>
      <c r="AE644" s="83"/>
      <c r="AF644" s="33"/>
      <c r="AG644" s="244"/>
      <c r="AH644" s="83"/>
      <c r="AI644" s="246"/>
      <c r="AJ644" s="102"/>
      <c r="AK644" s="92"/>
      <c r="AL644" s="91"/>
      <c r="AM644" s="92"/>
      <c r="AN644" s="351"/>
      <c r="AO644" s="197">
        <f t="shared" si="39"/>
        <v>0</v>
      </c>
      <c r="AP644" s="91"/>
      <c r="AQ644" s="217"/>
      <c r="AR644" s="103"/>
      <c r="AS644" s="264"/>
      <c r="AT644" s="94"/>
      <c r="AU644" s="84"/>
      <c r="AV644" s="136"/>
      <c r="AW644" s="77"/>
      <c r="AX644" s="137"/>
      <c r="AY644" s="138"/>
      <c r="AZ644" s="220">
        <f t="shared" si="36"/>
        <v>0</v>
      </c>
      <c r="BA644" s="220">
        <f t="shared" si="37"/>
        <v>0</v>
      </c>
    </row>
    <row r="645" spans="1:53" ht="50.1" customHeight="1" x14ac:dyDescent="0.25">
      <c r="A645" s="17">
        <f t="shared" si="38"/>
        <v>631</v>
      </c>
      <c r="B645" s="228"/>
      <c r="C645" s="221"/>
      <c r="D645" s="88"/>
      <c r="E645" s="100"/>
      <c r="F645" s="95"/>
      <c r="G645" s="114"/>
      <c r="H645" s="96"/>
      <c r="I645" s="97"/>
      <c r="J645" s="98"/>
      <c r="K645" s="101"/>
      <c r="L645" s="124"/>
      <c r="M645" s="333"/>
      <c r="N645" s="341"/>
      <c r="O645" s="82"/>
      <c r="P645" s="93"/>
      <c r="Q645" s="82"/>
      <c r="R645" s="93"/>
      <c r="S645" s="298"/>
      <c r="T645" s="304"/>
      <c r="U645" s="307"/>
      <c r="V645" s="309"/>
      <c r="W645" s="248"/>
      <c r="X645" s="342"/>
      <c r="Y645" s="336"/>
      <c r="Z645" s="123"/>
      <c r="AA645" s="33"/>
      <c r="AB645" s="123"/>
      <c r="AC645" s="33"/>
      <c r="AD645" s="123"/>
      <c r="AE645" s="33"/>
      <c r="AF645" s="123"/>
      <c r="AG645" s="243"/>
      <c r="AH645" s="33"/>
      <c r="AI645" s="245"/>
      <c r="AJ645" s="125"/>
      <c r="AK645" s="91"/>
      <c r="AL645" s="126"/>
      <c r="AM645" s="91"/>
      <c r="AN645" s="91"/>
      <c r="AO645" s="197">
        <f t="shared" si="39"/>
        <v>0</v>
      </c>
      <c r="AP645" s="126"/>
      <c r="AQ645" s="216"/>
      <c r="AR645" s="127"/>
      <c r="AS645" s="269"/>
      <c r="AT645" s="94"/>
      <c r="AU645" s="84"/>
      <c r="AV645" s="80"/>
      <c r="AW645" s="81"/>
      <c r="AX645" s="77"/>
      <c r="AY645" s="107"/>
      <c r="AZ645" s="220">
        <f t="shared" si="36"/>
        <v>0</v>
      </c>
      <c r="BA645" s="220">
        <f t="shared" si="37"/>
        <v>0</v>
      </c>
    </row>
    <row r="646" spans="1:53" ht="50.1" customHeight="1" x14ac:dyDescent="0.25">
      <c r="A646" s="17">
        <f t="shared" si="38"/>
        <v>632</v>
      </c>
      <c r="B646" s="229"/>
      <c r="C646" s="222"/>
      <c r="D646" s="112"/>
      <c r="E646" s="128"/>
      <c r="F646" s="129"/>
      <c r="G646" s="130"/>
      <c r="H646" s="131"/>
      <c r="I646" s="132"/>
      <c r="J646" s="108"/>
      <c r="K646" s="133"/>
      <c r="L646" s="134"/>
      <c r="M646" s="334"/>
      <c r="N646" s="343"/>
      <c r="O646" s="135"/>
      <c r="P646" s="82"/>
      <c r="Q646" s="135"/>
      <c r="R646" s="82"/>
      <c r="S646" s="299"/>
      <c r="T646" s="305"/>
      <c r="U646" s="298"/>
      <c r="V646" s="304"/>
      <c r="W646" s="249"/>
      <c r="X646" s="344"/>
      <c r="Y646" s="337"/>
      <c r="Z646" s="33"/>
      <c r="AA646" s="83"/>
      <c r="AB646" s="33"/>
      <c r="AC646" s="83"/>
      <c r="AD646" s="33"/>
      <c r="AE646" s="83"/>
      <c r="AF646" s="33"/>
      <c r="AG646" s="244"/>
      <c r="AH646" s="83"/>
      <c r="AI646" s="246"/>
      <c r="AJ646" s="102"/>
      <c r="AK646" s="92"/>
      <c r="AL646" s="91"/>
      <c r="AM646" s="92"/>
      <c r="AN646" s="351"/>
      <c r="AO646" s="197">
        <f t="shared" si="39"/>
        <v>0</v>
      </c>
      <c r="AP646" s="91"/>
      <c r="AQ646" s="217"/>
      <c r="AR646" s="103"/>
      <c r="AS646" s="264"/>
      <c r="AT646" s="94"/>
      <c r="AU646" s="84"/>
      <c r="AV646" s="136"/>
      <c r="AW646" s="77"/>
      <c r="AX646" s="137"/>
      <c r="AY646" s="138"/>
      <c r="AZ646" s="220">
        <f t="shared" si="36"/>
        <v>0</v>
      </c>
      <c r="BA646" s="220">
        <f t="shared" si="37"/>
        <v>0</v>
      </c>
    </row>
    <row r="647" spans="1:53" ht="50.1" customHeight="1" x14ac:dyDescent="0.25">
      <c r="A647" s="17">
        <f t="shared" si="38"/>
        <v>633</v>
      </c>
      <c r="B647" s="228"/>
      <c r="C647" s="221"/>
      <c r="D647" s="88"/>
      <c r="E647" s="100"/>
      <c r="F647" s="95"/>
      <c r="G647" s="114"/>
      <c r="H647" s="96"/>
      <c r="I647" s="97"/>
      <c r="J647" s="98"/>
      <c r="K647" s="101"/>
      <c r="L647" s="124"/>
      <c r="M647" s="333"/>
      <c r="N647" s="341"/>
      <c r="O647" s="82"/>
      <c r="P647" s="93"/>
      <c r="Q647" s="82"/>
      <c r="R647" s="93"/>
      <c r="S647" s="298"/>
      <c r="T647" s="304"/>
      <c r="U647" s="307"/>
      <c r="V647" s="309"/>
      <c r="W647" s="248"/>
      <c r="X647" s="342"/>
      <c r="Y647" s="336"/>
      <c r="Z647" s="123"/>
      <c r="AA647" s="33"/>
      <c r="AB647" s="123"/>
      <c r="AC647" s="33"/>
      <c r="AD647" s="123"/>
      <c r="AE647" s="33"/>
      <c r="AF647" s="123"/>
      <c r="AG647" s="243"/>
      <c r="AH647" s="33"/>
      <c r="AI647" s="245"/>
      <c r="AJ647" s="125"/>
      <c r="AK647" s="91"/>
      <c r="AL647" s="126"/>
      <c r="AM647" s="91"/>
      <c r="AN647" s="91"/>
      <c r="AO647" s="197">
        <f t="shared" si="39"/>
        <v>0</v>
      </c>
      <c r="AP647" s="126"/>
      <c r="AQ647" s="216"/>
      <c r="AR647" s="127"/>
      <c r="AS647" s="269"/>
      <c r="AT647" s="94"/>
      <c r="AU647" s="84"/>
      <c r="AV647" s="80"/>
      <c r="AW647" s="81"/>
      <c r="AX647" s="77"/>
      <c r="AY647" s="107"/>
      <c r="AZ647" s="220">
        <f t="shared" si="36"/>
        <v>0</v>
      </c>
      <c r="BA647" s="220">
        <f t="shared" si="37"/>
        <v>0</v>
      </c>
    </row>
    <row r="648" spans="1:53" ht="50.1" customHeight="1" x14ac:dyDescent="0.25">
      <c r="A648" s="17">
        <f t="shared" si="38"/>
        <v>634</v>
      </c>
      <c r="B648" s="229"/>
      <c r="C648" s="222"/>
      <c r="D648" s="112"/>
      <c r="E648" s="128"/>
      <c r="F648" s="129"/>
      <c r="G648" s="130"/>
      <c r="H648" s="131"/>
      <c r="I648" s="132"/>
      <c r="J648" s="108"/>
      <c r="K648" s="133"/>
      <c r="L648" s="134"/>
      <c r="M648" s="334"/>
      <c r="N648" s="343"/>
      <c r="O648" s="135"/>
      <c r="P648" s="82"/>
      <c r="Q648" s="135"/>
      <c r="R648" s="82"/>
      <c r="S648" s="299"/>
      <c r="T648" s="305"/>
      <c r="U648" s="298"/>
      <c r="V648" s="304"/>
      <c r="W648" s="249"/>
      <c r="X648" s="344"/>
      <c r="Y648" s="337"/>
      <c r="Z648" s="33"/>
      <c r="AA648" s="83"/>
      <c r="AB648" s="33"/>
      <c r="AC648" s="83"/>
      <c r="AD648" s="33"/>
      <c r="AE648" s="83"/>
      <c r="AF648" s="33"/>
      <c r="AG648" s="244"/>
      <c r="AH648" s="83"/>
      <c r="AI648" s="246"/>
      <c r="AJ648" s="102"/>
      <c r="AK648" s="92"/>
      <c r="AL648" s="91"/>
      <c r="AM648" s="92"/>
      <c r="AN648" s="351"/>
      <c r="AO648" s="197">
        <f t="shared" si="39"/>
        <v>0</v>
      </c>
      <c r="AP648" s="91"/>
      <c r="AQ648" s="217"/>
      <c r="AR648" s="103"/>
      <c r="AS648" s="264"/>
      <c r="AT648" s="94"/>
      <c r="AU648" s="84"/>
      <c r="AV648" s="136"/>
      <c r="AW648" s="77"/>
      <c r="AX648" s="137"/>
      <c r="AY648" s="138"/>
      <c r="AZ648" s="220">
        <f t="shared" si="36"/>
        <v>0</v>
      </c>
      <c r="BA648" s="220">
        <f t="shared" si="37"/>
        <v>0</v>
      </c>
    </row>
    <row r="649" spans="1:53" ht="50.1" customHeight="1" x14ac:dyDescent="0.25">
      <c r="A649" s="17">
        <f t="shared" si="38"/>
        <v>635</v>
      </c>
      <c r="B649" s="228"/>
      <c r="C649" s="221"/>
      <c r="D649" s="88"/>
      <c r="E649" s="100"/>
      <c r="F649" s="95"/>
      <c r="G649" s="114"/>
      <c r="H649" s="96"/>
      <c r="I649" s="97"/>
      <c r="J649" s="98"/>
      <c r="K649" s="101"/>
      <c r="L649" s="124"/>
      <c r="M649" s="333"/>
      <c r="N649" s="341"/>
      <c r="O649" s="82"/>
      <c r="P649" s="93"/>
      <c r="Q649" s="82"/>
      <c r="R649" s="93"/>
      <c r="S649" s="298"/>
      <c r="T649" s="304"/>
      <c r="U649" s="307"/>
      <c r="V649" s="309"/>
      <c r="W649" s="248"/>
      <c r="X649" s="342"/>
      <c r="Y649" s="336"/>
      <c r="Z649" s="123"/>
      <c r="AA649" s="33"/>
      <c r="AB649" s="123"/>
      <c r="AC649" s="33"/>
      <c r="AD649" s="123"/>
      <c r="AE649" s="33"/>
      <c r="AF649" s="123"/>
      <c r="AG649" s="243"/>
      <c r="AH649" s="33"/>
      <c r="AI649" s="245"/>
      <c r="AJ649" s="125"/>
      <c r="AK649" s="91"/>
      <c r="AL649" s="126"/>
      <c r="AM649" s="91"/>
      <c r="AN649" s="91"/>
      <c r="AO649" s="197">
        <f t="shared" si="39"/>
        <v>0</v>
      </c>
      <c r="AP649" s="126"/>
      <c r="AQ649" s="216"/>
      <c r="AR649" s="127"/>
      <c r="AS649" s="269"/>
      <c r="AT649" s="94"/>
      <c r="AU649" s="84"/>
      <c r="AV649" s="80"/>
      <c r="AW649" s="81"/>
      <c r="AX649" s="77"/>
      <c r="AY649" s="107"/>
      <c r="AZ649" s="220">
        <f t="shared" si="36"/>
        <v>0</v>
      </c>
      <c r="BA649" s="220">
        <f t="shared" si="37"/>
        <v>0</v>
      </c>
    </row>
    <row r="650" spans="1:53" ht="50.1" customHeight="1" x14ac:dyDescent="0.25">
      <c r="A650" s="17">
        <f t="shared" si="38"/>
        <v>636</v>
      </c>
      <c r="B650" s="229"/>
      <c r="C650" s="222"/>
      <c r="D650" s="112"/>
      <c r="E650" s="128"/>
      <c r="F650" s="129"/>
      <c r="G650" s="130"/>
      <c r="H650" s="131"/>
      <c r="I650" s="132"/>
      <c r="J650" s="108"/>
      <c r="K650" s="133"/>
      <c r="L650" s="134"/>
      <c r="M650" s="334"/>
      <c r="N650" s="343"/>
      <c r="O650" s="135"/>
      <c r="P650" s="82"/>
      <c r="Q650" s="135"/>
      <c r="R650" s="82"/>
      <c r="S650" s="299"/>
      <c r="T650" s="305"/>
      <c r="U650" s="298"/>
      <c r="V650" s="304"/>
      <c r="W650" s="249"/>
      <c r="X650" s="344"/>
      <c r="Y650" s="337"/>
      <c r="Z650" s="33"/>
      <c r="AA650" s="83"/>
      <c r="AB650" s="33"/>
      <c r="AC650" s="83"/>
      <c r="AD650" s="33"/>
      <c r="AE650" s="83"/>
      <c r="AF650" s="33"/>
      <c r="AG650" s="244"/>
      <c r="AH650" s="83"/>
      <c r="AI650" s="246"/>
      <c r="AJ650" s="102"/>
      <c r="AK650" s="92"/>
      <c r="AL650" s="91"/>
      <c r="AM650" s="92"/>
      <c r="AN650" s="351"/>
      <c r="AO650" s="197">
        <f t="shared" si="39"/>
        <v>0</v>
      </c>
      <c r="AP650" s="91"/>
      <c r="AQ650" s="217"/>
      <c r="AR650" s="103"/>
      <c r="AS650" s="264"/>
      <c r="AT650" s="94"/>
      <c r="AU650" s="84"/>
      <c r="AV650" s="136"/>
      <c r="AW650" s="77"/>
      <c r="AX650" s="137"/>
      <c r="AY650" s="138"/>
      <c r="AZ650" s="220">
        <f t="shared" si="36"/>
        <v>0</v>
      </c>
      <c r="BA650" s="220">
        <f t="shared" si="37"/>
        <v>0</v>
      </c>
    </row>
    <row r="651" spans="1:53" ht="50.1" customHeight="1" x14ac:dyDescent="0.25">
      <c r="A651" s="17">
        <f t="shared" si="38"/>
        <v>637</v>
      </c>
      <c r="B651" s="228"/>
      <c r="C651" s="221"/>
      <c r="D651" s="88"/>
      <c r="E651" s="100"/>
      <c r="F651" s="95"/>
      <c r="G651" s="114"/>
      <c r="H651" s="96"/>
      <c r="I651" s="97"/>
      <c r="J651" s="98"/>
      <c r="K651" s="101"/>
      <c r="L651" s="124"/>
      <c r="M651" s="333"/>
      <c r="N651" s="341"/>
      <c r="O651" s="82"/>
      <c r="P651" s="93"/>
      <c r="Q651" s="82"/>
      <c r="R651" s="93"/>
      <c r="S651" s="298"/>
      <c r="T651" s="304"/>
      <c r="U651" s="307"/>
      <c r="V651" s="309"/>
      <c r="W651" s="248"/>
      <c r="X651" s="342"/>
      <c r="Y651" s="336"/>
      <c r="Z651" s="123"/>
      <c r="AA651" s="33"/>
      <c r="AB651" s="123"/>
      <c r="AC651" s="33"/>
      <c r="AD651" s="123"/>
      <c r="AE651" s="33"/>
      <c r="AF651" s="123"/>
      <c r="AG651" s="243"/>
      <c r="AH651" s="33"/>
      <c r="AI651" s="245"/>
      <c r="AJ651" s="125"/>
      <c r="AK651" s="91"/>
      <c r="AL651" s="126"/>
      <c r="AM651" s="91"/>
      <c r="AN651" s="91"/>
      <c r="AO651" s="197">
        <f t="shared" si="39"/>
        <v>0</v>
      </c>
      <c r="AP651" s="126"/>
      <c r="AQ651" s="216"/>
      <c r="AR651" s="127"/>
      <c r="AS651" s="269"/>
      <c r="AT651" s="94"/>
      <c r="AU651" s="84"/>
      <c r="AV651" s="80"/>
      <c r="AW651" s="81"/>
      <c r="AX651" s="77"/>
      <c r="AY651" s="107"/>
      <c r="AZ651" s="220">
        <f t="shared" si="36"/>
        <v>0</v>
      </c>
      <c r="BA651" s="220">
        <f t="shared" si="37"/>
        <v>0</v>
      </c>
    </row>
    <row r="652" spans="1:53" ht="50.1" customHeight="1" x14ac:dyDescent="0.25">
      <c r="A652" s="17">
        <f t="shared" si="38"/>
        <v>638</v>
      </c>
      <c r="B652" s="229"/>
      <c r="C652" s="222"/>
      <c r="D652" s="112"/>
      <c r="E652" s="128"/>
      <c r="F652" s="129"/>
      <c r="G652" s="130"/>
      <c r="H652" s="131"/>
      <c r="I652" s="132"/>
      <c r="J652" s="108"/>
      <c r="K652" s="133"/>
      <c r="L652" s="134"/>
      <c r="M652" s="334"/>
      <c r="N652" s="343"/>
      <c r="O652" s="135"/>
      <c r="P652" s="82"/>
      <c r="Q652" s="135"/>
      <c r="R652" s="82"/>
      <c r="S652" s="299"/>
      <c r="T652" s="305"/>
      <c r="U652" s="298"/>
      <c r="V652" s="304"/>
      <c r="W652" s="249"/>
      <c r="X652" s="344"/>
      <c r="Y652" s="337"/>
      <c r="Z652" s="33"/>
      <c r="AA652" s="83"/>
      <c r="AB652" s="33"/>
      <c r="AC652" s="83"/>
      <c r="AD652" s="33"/>
      <c r="AE652" s="83"/>
      <c r="AF652" s="33"/>
      <c r="AG652" s="244"/>
      <c r="AH652" s="83"/>
      <c r="AI652" s="246"/>
      <c r="AJ652" s="102"/>
      <c r="AK652" s="92"/>
      <c r="AL652" s="91"/>
      <c r="AM652" s="92"/>
      <c r="AN652" s="351"/>
      <c r="AO652" s="197">
        <f t="shared" si="39"/>
        <v>0</v>
      </c>
      <c r="AP652" s="91"/>
      <c r="AQ652" s="217"/>
      <c r="AR652" s="103"/>
      <c r="AS652" s="264"/>
      <c r="AT652" s="94"/>
      <c r="AU652" s="84"/>
      <c r="AV652" s="136"/>
      <c r="AW652" s="77"/>
      <c r="AX652" s="137"/>
      <c r="AY652" s="138"/>
      <c r="AZ652" s="220">
        <f t="shared" si="36"/>
        <v>0</v>
      </c>
      <c r="BA652" s="220">
        <f t="shared" si="37"/>
        <v>0</v>
      </c>
    </row>
    <row r="653" spans="1:53" ht="50.1" customHeight="1" x14ac:dyDescent="0.25">
      <c r="A653" s="17">
        <f t="shared" si="38"/>
        <v>639</v>
      </c>
      <c r="B653" s="228"/>
      <c r="C653" s="221"/>
      <c r="D653" s="88"/>
      <c r="E653" s="100"/>
      <c r="F653" s="95"/>
      <c r="G653" s="114"/>
      <c r="H653" s="96"/>
      <c r="I653" s="97"/>
      <c r="J653" s="98"/>
      <c r="K653" s="101"/>
      <c r="L653" s="124"/>
      <c r="M653" s="333"/>
      <c r="N653" s="341"/>
      <c r="O653" s="82"/>
      <c r="P653" s="93"/>
      <c r="Q653" s="82"/>
      <c r="R653" s="93"/>
      <c r="S653" s="298"/>
      <c r="T653" s="304"/>
      <c r="U653" s="307"/>
      <c r="V653" s="309"/>
      <c r="W653" s="248"/>
      <c r="X653" s="342"/>
      <c r="Y653" s="336"/>
      <c r="Z653" s="123"/>
      <c r="AA653" s="33"/>
      <c r="AB653" s="123"/>
      <c r="AC653" s="33"/>
      <c r="AD653" s="123"/>
      <c r="AE653" s="33"/>
      <c r="AF653" s="123"/>
      <c r="AG653" s="243"/>
      <c r="AH653" s="33"/>
      <c r="AI653" s="245"/>
      <c r="AJ653" s="125"/>
      <c r="AK653" s="91"/>
      <c r="AL653" s="126"/>
      <c r="AM653" s="91"/>
      <c r="AN653" s="91"/>
      <c r="AO653" s="197">
        <f t="shared" si="39"/>
        <v>0</v>
      </c>
      <c r="AP653" s="126"/>
      <c r="AQ653" s="216"/>
      <c r="AR653" s="127"/>
      <c r="AS653" s="269"/>
      <c r="AT653" s="94"/>
      <c r="AU653" s="84"/>
      <c r="AV653" s="80"/>
      <c r="AW653" s="81"/>
      <c r="AX653" s="77"/>
      <c r="AY653" s="107"/>
      <c r="AZ653" s="220">
        <f t="shared" si="36"/>
        <v>0</v>
      </c>
      <c r="BA653" s="220">
        <f t="shared" si="37"/>
        <v>0</v>
      </c>
    </row>
    <row r="654" spans="1:53" ht="50.1" customHeight="1" x14ac:dyDescent="0.25">
      <c r="A654" s="17">
        <f t="shared" si="38"/>
        <v>640</v>
      </c>
      <c r="B654" s="229"/>
      <c r="C654" s="222"/>
      <c r="D654" s="112"/>
      <c r="E654" s="128"/>
      <c r="F654" s="129"/>
      <c r="G654" s="130"/>
      <c r="H654" s="131"/>
      <c r="I654" s="132"/>
      <c r="J654" s="108"/>
      <c r="K654" s="133"/>
      <c r="L654" s="134"/>
      <c r="M654" s="334"/>
      <c r="N654" s="343"/>
      <c r="O654" s="135"/>
      <c r="P654" s="82"/>
      <c r="Q654" s="135"/>
      <c r="R654" s="82"/>
      <c r="S654" s="299"/>
      <c r="T654" s="305"/>
      <c r="U654" s="298"/>
      <c r="V654" s="304"/>
      <c r="W654" s="249"/>
      <c r="X654" s="344"/>
      <c r="Y654" s="337"/>
      <c r="Z654" s="33"/>
      <c r="AA654" s="83"/>
      <c r="AB654" s="33"/>
      <c r="AC654" s="83"/>
      <c r="AD654" s="33"/>
      <c r="AE654" s="83"/>
      <c r="AF654" s="33"/>
      <c r="AG654" s="244"/>
      <c r="AH654" s="83"/>
      <c r="AI654" s="246"/>
      <c r="AJ654" s="102"/>
      <c r="AK654" s="92"/>
      <c r="AL654" s="91"/>
      <c r="AM654" s="92"/>
      <c r="AN654" s="351"/>
      <c r="AO654" s="197">
        <f t="shared" si="39"/>
        <v>0</v>
      </c>
      <c r="AP654" s="91"/>
      <c r="AQ654" s="217"/>
      <c r="AR654" s="103"/>
      <c r="AS654" s="264"/>
      <c r="AT654" s="94"/>
      <c r="AU654" s="84"/>
      <c r="AV654" s="136"/>
      <c r="AW654" s="77"/>
      <c r="AX654" s="137"/>
      <c r="AY654" s="138"/>
      <c r="AZ654" s="220">
        <f t="shared" si="36"/>
        <v>0</v>
      </c>
      <c r="BA654" s="220">
        <f t="shared" si="37"/>
        <v>0</v>
      </c>
    </row>
    <row r="655" spans="1:53" ht="50.1" customHeight="1" x14ac:dyDescent="0.25">
      <c r="A655" s="17">
        <f t="shared" si="38"/>
        <v>641</v>
      </c>
      <c r="B655" s="228"/>
      <c r="C655" s="221"/>
      <c r="D655" s="88"/>
      <c r="E655" s="100"/>
      <c r="F655" s="95"/>
      <c r="G655" s="114"/>
      <c r="H655" s="96"/>
      <c r="I655" s="97"/>
      <c r="J655" s="98"/>
      <c r="K655" s="101"/>
      <c r="L655" s="124"/>
      <c r="M655" s="333"/>
      <c r="N655" s="341"/>
      <c r="O655" s="82"/>
      <c r="P655" s="93"/>
      <c r="Q655" s="82"/>
      <c r="R655" s="93"/>
      <c r="S655" s="298"/>
      <c r="T655" s="304"/>
      <c r="U655" s="307"/>
      <c r="V655" s="309"/>
      <c r="W655" s="248"/>
      <c r="X655" s="342"/>
      <c r="Y655" s="336"/>
      <c r="Z655" s="123"/>
      <c r="AA655" s="33"/>
      <c r="AB655" s="123"/>
      <c r="AC655" s="33"/>
      <c r="AD655" s="123"/>
      <c r="AE655" s="33"/>
      <c r="AF655" s="123"/>
      <c r="AG655" s="243"/>
      <c r="AH655" s="33"/>
      <c r="AI655" s="245"/>
      <c r="AJ655" s="125"/>
      <c r="AK655" s="91"/>
      <c r="AL655" s="126"/>
      <c r="AM655" s="91"/>
      <c r="AN655" s="91"/>
      <c r="AO655" s="197">
        <f t="shared" si="39"/>
        <v>0</v>
      </c>
      <c r="AP655" s="126"/>
      <c r="AQ655" s="216"/>
      <c r="AR655" s="127"/>
      <c r="AS655" s="269"/>
      <c r="AT655" s="94"/>
      <c r="AU655" s="84"/>
      <c r="AV655" s="80"/>
      <c r="AW655" s="81"/>
      <c r="AX655" s="77"/>
      <c r="AY655" s="107"/>
      <c r="AZ655" s="220">
        <f t="shared" ref="AZ655:AZ718" si="40">M655-B655</f>
        <v>0</v>
      </c>
      <c r="BA655" s="220">
        <f t="shared" ref="BA655:BA718" si="41">AU655-M655</f>
        <v>0</v>
      </c>
    </row>
    <row r="656" spans="1:53" ht="50.1" customHeight="1" x14ac:dyDescent="0.25">
      <c r="A656" s="17">
        <f t="shared" ref="A656:A719" si="42">ROW(A642)</f>
        <v>642</v>
      </c>
      <c r="B656" s="229"/>
      <c r="C656" s="222"/>
      <c r="D656" s="112"/>
      <c r="E656" s="128"/>
      <c r="F656" s="129"/>
      <c r="G656" s="130"/>
      <c r="H656" s="131"/>
      <c r="I656" s="132"/>
      <c r="J656" s="108"/>
      <c r="K656" s="133"/>
      <c r="L656" s="134"/>
      <c r="M656" s="334"/>
      <c r="N656" s="343"/>
      <c r="O656" s="135"/>
      <c r="P656" s="82"/>
      <c r="Q656" s="135"/>
      <c r="R656" s="82"/>
      <c r="S656" s="299"/>
      <c r="T656" s="305"/>
      <c r="U656" s="298"/>
      <c r="V656" s="304"/>
      <c r="W656" s="249"/>
      <c r="X656" s="344"/>
      <c r="Y656" s="337"/>
      <c r="Z656" s="33"/>
      <c r="AA656" s="83"/>
      <c r="AB656" s="33"/>
      <c r="AC656" s="83"/>
      <c r="AD656" s="33"/>
      <c r="AE656" s="83"/>
      <c r="AF656" s="33"/>
      <c r="AG656" s="244"/>
      <c r="AH656" s="83"/>
      <c r="AI656" s="246"/>
      <c r="AJ656" s="102"/>
      <c r="AK656" s="92"/>
      <c r="AL656" s="91"/>
      <c r="AM656" s="92"/>
      <c r="AN656" s="351"/>
      <c r="AO656" s="197">
        <f t="shared" ref="AO656:AO719" si="43">AJ656-AK656-AL656-AM656-AN656</f>
        <v>0</v>
      </c>
      <c r="AP656" s="91"/>
      <c r="AQ656" s="217"/>
      <c r="AR656" s="103"/>
      <c r="AS656" s="264"/>
      <c r="AT656" s="94"/>
      <c r="AU656" s="84"/>
      <c r="AV656" s="136"/>
      <c r="AW656" s="77"/>
      <c r="AX656" s="137"/>
      <c r="AY656" s="138"/>
      <c r="AZ656" s="220">
        <f t="shared" si="40"/>
        <v>0</v>
      </c>
      <c r="BA656" s="220">
        <f t="shared" si="41"/>
        <v>0</v>
      </c>
    </row>
    <row r="657" spans="1:53" ht="50.1" customHeight="1" x14ac:dyDescent="0.25">
      <c r="A657" s="17">
        <f t="shared" si="42"/>
        <v>643</v>
      </c>
      <c r="B657" s="228"/>
      <c r="C657" s="221"/>
      <c r="D657" s="88"/>
      <c r="E657" s="100"/>
      <c r="F657" s="95"/>
      <c r="G657" s="114"/>
      <c r="H657" s="96"/>
      <c r="I657" s="97"/>
      <c r="J657" s="98"/>
      <c r="K657" s="101"/>
      <c r="L657" s="124"/>
      <c r="M657" s="333"/>
      <c r="N657" s="341"/>
      <c r="O657" s="82"/>
      <c r="P657" s="93"/>
      <c r="Q657" s="82"/>
      <c r="R657" s="93"/>
      <c r="S657" s="298"/>
      <c r="T657" s="304"/>
      <c r="U657" s="307"/>
      <c r="V657" s="309"/>
      <c r="W657" s="248"/>
      <c r="X657" s="342"/>
      <c r="Y657" s="336"/>
      <c r="Z657" s="123"/>
      <c r="AA657" s="33"/>
      <c r="AB657" s="123"/>
      <c r="AC657" s="33"/>
      <c r="AD657" s="123"/>
      <c r="AE657" s="33"/>
      <c r="AF657" s="123"/>
      <c r="AG657" s="243"/>
      <c r="AH657" s="33"/>
      <c r="AI657" s="245"/>
      <c r="AJ657" s="125"/>
      <c r="AK657" s="91"/>
      <c r="AL657" s="126"/>
      <c r="AM657" s="91"/>
      <c r="AN657" s="91"/>
      <c r="AO657" s="197">
        <f t="shared" si="43"/>
        <v>0</v>
      </c>
      <c r="AP657" s="126"/>
      <c r="AQ657" s="216"/>
      <c r="AR657" s="127"/>
      <c r="AS657" s="269"/>
      <c r="AT657" s="94"/>
      <c r="AU657" s="84"/>
      <c r="AV657" s="80"/>
      <c r="AW657" s="81"/>
      <c r="AX657" s="77"/>
      <c r="AY657" s="107"/>
      <c r="AZ657" s="220">
        <f t="shared" si="40"/>
        <v>0</v>
      </c>
      <c r="BA657" s="220">
        <f t="shared" si="41"/>
        <v>0</v>
      </c>
    </row>
    <row r="658" spans="1:53" ht="50.1" customHeight="1" x14ac:dyDescent="0.25">
      <c r="A658" s="17">
        <f t="shared" si="42"/>
        <v>644</v>
      </c>
      <c r="B658" s="229"/>
      <c r="C658" s="222"/>
      <c r="D658" s="112"/>
      <c r="E658" s="128"/>
      <c r="F658" s="129"/>
      <c r="G658" s="130"/>
      <c r="H658" s="131"/>
      <c r="I658" s="132"/>
      <c r="J658" s="108"/>
      <c r="K658" s="133"/>
      <c r="L658" s="134"/>
      <c r="M658" s="334"/>
      <c r="N658" s="343"/>
      <c r="O658" s="135"/>
      <c r="P658" s="82"/>
      <c r="Q658" s="135"/>
      <c r="R658" s="82"/>
      <c r="S658" s="299"/>
      <c r="T658" s="305"/>
      <c r="U658" s="298"/>
      <c r="V658" s="304"/>
      <c r="W658" s="249"/>
      <c r="X658" s="344"/>
      <c r="Y658" s="337"/>
      <c r="Z658" s="33"/>
      <c r="AA658" s="83"/>
      <c r="AB658" s="33"/>
      <c r="AC658" s="83"/>
      <c r="AD658" s="33"/>
      <c r="AE658" s="83"/>
      <c r="AF658" s="33"/>
      <c r="AG658" s="244"/>
      <c r="AH658" s="83"/>
      <c r="AI658" s="246"/>
      <c r="AJ658" s="102"/>
      <c r="AK658" s="92"/>
      <c r="AL658" s="91"/>
      <c r="AM658" s="92"/>
      <c r="AN658" s="351"/>
      <c r="AO658" s="197">
        <f t="shared" si="43"/>
        <v>0</v>
      </c>
      <c r="AP658" s="91"/>
      <c r="AQ658" s="217"/>
      <c r="AR658" s="103"/>
      <c r="AS658" s="264"/>
      <c r="AT658" s="94"/>
      <c r="AU658" s="84"/>
      <c r="AV658" s="136"/>
      <c r="AW658" s="77"/>
      <c r="AX658" s="137"/>
      <c r="AY658" s="138"/>
      <c r="AZ658" s="220">
        <f t="shared" si="40"/>
        <v>0</v>
      </c>
      <c r="BA658" s="220">
        <f t="shared" si="41"/>
        <v>0</v>
      </c>
    </row>
    <row r="659" spans="1:53" ht="50.1" customHeight="1" x14ac:dyDescent="0.25">
      <c r="A659" s="17">
        <f t="shared" si="42"/>
        <v>645</v>
      </c>
      <c r="B659" s="228"/>
      <c r="C659" s="221"/>
      <c r="D659" s="88"/>
      <c r="E659" s="100"/>
      <c r="F659" s="95"/>
      <c r="G659" s="114"/>
      <c r="H659" s="96"/>
      <c r="I659" s="97"/>
      <c r="J659" s="98"/>
      <c r="K659" s="101"/>
      <c r="L659" s="124"/>
      <c r="M659" s="333"/>
      <c r="N659" s="341"/>
      <c r="O659" s="82"/>
      <c r="P659" s="93"/>
      <c r="Q659" s="82"/>
      <c r="R659" s="93"/>
      <c r="S659" s="298"/>
      <c r="T659" s="304"/>
      <c r="U659" s="307"/>
      <c r="V659" s="309"/>
      <c r="W659" s="248"/>
      <c r="X659" s="342"/>
      <c r="Y659" s="336"/>
      <c r="Z659" s="123"/>
      <c r="AA659" s="33"/>
      <c r="AB659" s="123"/>
      <c r="AC659" s="33"/>
      <c r="AD659" s="123"/>
      <c r="AE659" s="33"/>
      <c r="AF659" s="123"/>
      <c r="AG659" s="243"/>
      <c r="AH659" s="33"/>
      <c r="AI659" s="245"/>
      <c r="AJ659" s="125"/>
      <c r="AK659" s="91"/>
      <c r="AL659" s="126"/>
      <c r="AM659" s="91"/>
      <c r="AN659" s="91"/>
      <c r="AO659" s="197">
        <f t="shared" si="43"/>
        <v>0</v>
      </c>
      <c r="AP659" s="126"/>
      <c r="AQ659" s="216"/>
      <c r="AR659" s="127"/>
      <c r="AS659" s="269"/>
      <c r="AT659" s="94"/>
      <c r="AU659" s="84"/>
      <c r="AV659" s="80"/>
      <c r="AW659" s="81"/>
      <c r="AX659" s="77"/>
      <c r="AY659" s="107"/>
      <c r="AZ659" s="220">
        <f t="shared" si="40"/>
        <v>0</v>
      </c>
      <c r="BA659" s="220">
        <f t="shared" si="41"/>
        <v>0</v>
      </c>
    </row>
    <row r="660" spans="1:53" ht="50.1" customHeight="1" x14ac:dyDescent="0.25">
      <c r="A660" s="17">
        <f t="shared" si="42"/>
        <v>646</v>
      </c>
      <c r="B660" s="229"/>
      <c r="C660" s="222"/>
      <c r="D660" s="112"/>
      <c r="E660" s="128"/>
      <c r="F660" s="129"/>
      <c r="G660" s="130"/>
      <c r="H660" s="131"/>
      <c r="I660" s="132"/>
      <c r="J660" s="108"/>
      <c r="K660" s="133"/>
      <c r="L660" s="134"/>
      <c r="M660" s="334"/>
      <c r="N660" s="343"/>
      <c r="O660" s="135"/>
      <c r="P660" s="82"/>
      <c r="Q660" s="135"/>
      <c r="R660" s="82"/>
      <c r="S660" s="299"/>
      <c r="T660" s="305"/>
      <c r="U660" s="298"/>
      <c r="V660" s="304"/>
      <c r="W660" s="249"/>
      <c r="X660" s="344"/>
      <c r="Y660" s="337"/>
      <c r="Z660" s="33"/>
      <c r="AA660" s="83"/>
      <c r="AB660" s="33"/>
      <c r="AC660" s="83"/>
      <c r="AD660" s="33"/>
      <c r="AE660" s="83"/>
      <c r="AF660" s="33"/>
      <c r="AG660" s="244"/>
      <c r="AH660" s="83"/>
      <c r="AI660" s="246"/>
      <c r="AJ660" s="102"/>
      <c r="AK660" s="92"/>
      <c r="AL660" s="91"/>
      <c r="AM660" s="92"/>
      <c r="AN660" s="351"/>
      <c r="AO660" s="197">
        <f t="shared" si="43"/>
        <v>0</v>
      </c>
      <c r="AP660" s="91"/>
      <c r="AQ660" s="217"/>
      <c r="AR660" s="103"/>
      <c r="AS660" s="264"/>
      <c r="AT660" s="94"/>
      <c r="AU660" s="84"/>
      <c r="AV660" s="136"/>
      <c r="AW660" s="77"/>
      <c r="AX660" s="137"/>
      <c r="AY660" s="138"/>
      <c r="AZ660" s="220">
        <f t="shared" si="40"/>
        <v>0</v>
      </c>
      <c r="BA660" s="220">
        <f t="shared" si="41"/>
        <v>0</v>
      </c>
    </row>
    <row r="661" spans="1:53" ht="50.1" customHeight="1" x14ac:dyDescent="0.25">
      <c r="A661" s="17">
        <f t="shared" si="42"/>
        <v>647</v>
      </c>
      <c r="B661" s="228"/>
      <c r="C661" s="221"/>
      <c r="D661" s="88"/>
      <c r="E661" s="100"/>
      <c r="F661" s="95"/>
      <c r="G661" s="114"/>
      <c r="H661" s="96"/>
      <c r="I661" s="97"/>
      <c r="J661" s="98"/>
      <c r="K661" s="101"/>
      <c r="L661" s="124"/>
      <c r="M661" s="333"/>
      <c r="N661" s="341"/>
      <c r="O661" s="82"/>
      <c r="P661" s="93"/>
      <c r="Q661" s="82"/>
      <c r="R661" s="93"/>
      <c r="S661" s="298"/>
      <c r="T661" s="304"/>
      <c r="U661" s="307"/>
      <c r="V661" s="309"/>
      <c r="W661" s="248"/>
      <c r="X661" s="342"/>
      <c r="Y661" s="336"/>
      <c r="Z661" s="123"/>
      <c r="AA661" s="33"/>
      <c r="AB661" s="123"/>
      <c r="AC661" s="33"/>
      <c r="AD661" s="123"/>
      <c r="AE661" s="33"/>
      <c r="AF661" s="123"/>
      <c r="AG661" s="243"/>
      <c r="AH661" s="33"/>
      <c r="AI661" s="245"/>
      <c r="AJ661" s="125"/>
      <c r="AK661" s="91"/>
      <c r="AL661" s="126"/>
      <c r="AM661" s="91"/>
      <c r="AN661" s="91"/>
      <c r="AO661" s="197">
        <f t="shared" si="43"/>
        <v>0</v>
      </c>
      <c r="AP661" s="126"/>
      <c r="AQ661" s="216"/>
      <c r="AR661" s="127"/>
      <c r="AS661" s="269"/>
      <c r="AT661" s="94"/>
      <c r="AU661" s="84"/>
      <c r="AV661" s="80"/>
      <c r="AW661" s="81"/>
      <c r="AX661" s="77"/>
      <c r="AY661" s="107"/>
      <c r="AZ661" s="220">
        <f t="shared" si="40"/>
        <v>0</v>
      </c>
      <c r="BA661" s="220">
        <f t="shared" si="41"/>
        <v>0</v>
      </c>
    </row>
    <row r="662" spans="1:53" ht="50.1" customHeight="1" x14ac:dyDescent="0.25">
      <c r="A662" s="17">
        <f t="shared" si="42"/>
        <v>648</v>
      </c>
      <c r="B662" s="229"/>
      <c r="C662" s="222"/>
      <c r="D662" s="112"/>
      <c r="E662" s="128"/>
      <c r="F662" s="129"/>
      <c r="G662" s="130"/>
      <c r="H662" s="131"/>
      <c r="I662" s="132"/>
      <c r="J662" s="108"/>
      <c r="K662" s="133"/>
      <c r="L662" s="134"/>
      <c r="M662" s="334"/>
      <c r="N662" s="343"/>
      <c r="O662" s="135"/>
      <c r="P662" s="82"/>
      <c r="Q662" s="135"/>
      <c r="R662" s="82"/>
      <c r="S662" s="299"/>
      <c r="T662" s="305"/>
      <c r="U662" s="298"/>
      <c r="V662" s="304"/>
      <c r="W662" s="249"/>
      <c r="X662" s="344"/>
      <c r="Y662" s="337"/>
      <c r="Z662" s="33"/>
      <c r="AA662" s="83"/>
      <c r="AB662" s="33"/>
      <c r="AC662" s="83"/>
      <c r="AD662" s="33"/>
      <c r="AE662" s="83"/>
      <c r="AF662" s="33"/>
      <c r="AG662" s="244"/>
      <c r="AH662" s="83"/>
      <c r="AI662" s="246"/>
      <c r="AJ662" s="102"/>
      <c r="AK662" s="92"/>
      <c r="AL662" s="91"/>
      <c r="AM662" s="92"/>
      <c r="AN662" s="351"/>
      <c r="AO662" s="197">
        <f t="shared" si="43"/>
        <v>0</v>
      </c>
      <c r="AP662" s="91"/>
      <c r="AQ662" s="217"/>
      <c r="AR662" s="103"/>
      <c r="AS662" s="264"/>
      <c r="AT662" s="94"/>
      <c r="AU662" s="84"/>
      <c r="AV662" s="136"/>
      <c r="AW662" s="77"/>
      <c r="AX662" s="137"/>
      <c r="AY662" s="138"/>
      <c r="AZ662" s="220">
        <f t="shared" si="40"/>
        <v>0</v>
      </c>
      <c r="BA662" s="220">
        <f t="shared" si="41"/>
        <v>0</v>
      </c>
    </row>
    <row r="663" spans="1:53" ht="50.1" customHeight="1" x14ac:dyDescent="0.25">
      <c r="A663" s="17">
        <f t="shared" si="42"/>
        <v>649</v>
      </c>
      <c r="B663" s="228"/>
      <c r="C663" s="221"/>
      <c r="D663" s="88"/>
      <c r="E663" s="100"/>
      <c r="F663" s="95"/>
      <c r="G663" s="114"/>
      <c r="H663" s="96"/>
      <c r="I663" s="97"/>
      <c r="J663" s="98"/>
      <c r="K663" s="101"/>
      <c r="L663" s="124"/>
      <c r="M663" s="333"/>
      <c r="N663" s="341"/>
      <c r="O663" s="82"/>
      <c r="P663" s="93"/>
      <c r="Q663" s="82"/>
      <c r="R663" s="93"/>
      <c r="S663" s="298"/>
      <c r="T663" s="304"/>
      <c r="U663" s="307"/>
      <c r="V663" s="309"/>
      <c r="W663" s="248"/>
      <c r="X663" s="342"/>
      <c r="Y663" s="336"/>
      <c r="Z663" s="123"/>
      <c r="AA663" s="33"/>
      <c r="AB663" s="123"/>
      <c r="AC663" s="33"/>
      <c r="AD663" s="123"/>
      <c r="AE663" s="33"/>
      <c r="AF663" s="123"/>
      <c r="AG663" s="243"/>
      <c r="AH663" s="33"/>
      <c r="AI663" s="245"/>
      <c r="AJ663" s="125"/>
      <c r="AK663" s="91"/>
      <c r="AL663" s="126"/>
      <c r="AM663" s="91"/>
      <c r="AN663" s="91"/>
      <c r="AO663" s="197">
        <f t="shared" si="43"/>
        <v>0</v>
      </c>
      <c r="AP663" s="126"/>
      <c r="AQ663" s="216"/>
      <c r="AR663" s="127"/>
      <c r="AS663" s="269"/>
      <c r="AT663" s="94"/>
      <c r="AU663" s="84"/>
      <c r="AV663" s="80"/>
      <c r="AW663" s="81"/>
      <c r="AX663" s="77"/>
      <c r="AY663" s="107"/>
      <c r="AZ663" s="220">
        <f t="shared" si="40"/>
        <v>0</v>
      </c>
      <c r="BA663" s="220">
        <f t="shared" si="41"/>
        <v>0</v>
      </c>
    </row>
    <row r="664" spans="1:53" ht="50.1" customHeight="1" x14ac:dyDescent="0.25">
      <c r="A664" s="17">
        <f t="shared" si="42"/>
        <v>650</v>
      </c>
      <c r="B664" s="229"/>
      <c r="C664" s="222"/>
      <c r="D664" s="112"/>
      <c r="E664" s="128"/>
      <c r="F664" s="129"/>
      <c r="G664" s="130"/>
      <c r="H664" s="131"/>
      <c r="I664" s="132"/>
      <c r="J664" s="108"/>
      <c r="K664" s="133"/>
      <c r="L664" s="134"/>
      <c r="M664" s="334"/>
      <c r="N664" s="343"/>
      <c r="O664" s="135"/>
      <c r="P664" s="82"/>
      <c r="Q664" s="135"/>
      <c r="R664" s="82"/>
      <c r="S664" s="299"/>
      <c r="T664" s="305"/>
      <c r="U664" s="298"/>
      <c r="V664" s="304"/>
      <c r="W664" s="249"/>
      <c r="X664" s="344"/>
      <c r="Y664" s="337"/>
      <c r="Z664" s="33"/>
      <c r="AA664" s="83"/>
      <c r="AB664" s="33"/>
      <c r="AC664" s="83"/>
      <c r="AD664" s="33"/>
      <c r="AE664" s="83"/>
      <c r="AF664" s="33"/>
      <c r="AG664" s="244"/>
      <c r="AH664" s="83"/>
      <c r="AI664" s="246"/>
      <c r="AJ664" s="102"/>
      <c r="AK664" s="92"/>
      <c r="AL664" s="91"/>
      <c r="AM664" s="92"/>
      <c r="AN664" s="351"/>
      <c r="AO664" s="197">
        <f t="shared" si="43"/>
        <v>0</v>
      </c>
      <c r="AP664" s="91"/>
      <c r="AQ664" s="217"/>
      <c r="AR664" s="103"/>
      <c r="AS664" s="264"/>
      <c r="AT664" s="94"/>
      <c r="AU664" s="84"/>
      <c r="AV664" s="136"/>
      <c r="AW664" s="77"/>
      <c r="AX664" s="137"/>
      <c r="AY664" s="138"/>
      <c r="AZ664" s="220">
        <f t="shared" si="40"/>
        <v>0</v>
      </c>
      <c r="BA664" s="220">
        <f t="shared" si="41"/>
        <v>0</v>
      </c>
    </row>
    <row r="665" spans="1:53" ht="50.1" customHeight="1" x14ac:dyDescent="0.25">
      <c r="A665" s="17">
        <f t="shared" si="42"/>
        <v>651</v>
      </c>
      <c r="B665" s="228"/>
      <c r="C665" s="221"/>
      <c r="D665" s="88"/>
      <c r="E665" s="100"/>
      <c r="F665" s="95"/>
      <c r="G665" s="114"/>
      <c r="H665" s="96"/>
      <c r="I665" s="97"/>
      <c r="J665" s="98"/>
      <c r="K665" s="101"/>
      <c r="L665" s="124"/>
      <c r="M665" s="333"/>
      <c r="N665" s="341"/>
      <c r="O665" s="82"/>
      <c r="P665" s="93"/>
      <c r="Q665" s="82"/>
      <c r="R665" s="93"/>
      <c r="S665" s="298"/>
      <c r="T665" s="304"/>
      <c r="U665" s="307"/>
      <c r="V665" s="309"/>
      <c r="W665" s="248"/>
      <c r="X665" s="342"/>
      <c r="Y665" s="336"/>
      <c r="Z665" s="123"/>
      <c r="AA665" s="33"/>
      <c r="AB665" s="123"/>
      <c r="AC665" s="33"/>
      <c r="AD665" s="123"/>
      <c r="AE665" s="33"/>
      <c r="AF665" s="123"/>
      <c r="AG665" s="243"/>
      <c r="AH665" s="33"/>
      <c r="AI665" s="245"/>
      <c r="AJ665" s="125"/>
      <c r="AK665" s="91"/>
      <c r="AL665" s="126"/>
      <c r="AM665" s="91"/>
      <c r="AN665" s="91"/>
      <c r="AO665" s="197">
        <f t="shared" si="43"/>
        <v>0</v>
      </c>
      <c r="AP665" s="126"/>
      <c r="AQ665" s="216"/>
      <c r="AR665" s="127"/>
      <c r="AS665" s="269"/>
      <c r="AT665" s="94"/>
      <c r="AU665" s="84"/>
      <c r="AV665" s="80"/>
      <c r="AW665" s="81"/>
      <c r="AX665" s="77"/>
      <c r="AY665" s="107"/>
      <c r="AZ665" s="220">
        <f t="shared" si="40"/>
        <v>0</v>
      </c>
      <c r="BA665" s="220">
        <f t="shared" si="41"/>
        <v>0</v>
      </c>
    </row>
    <row r="666" spans="1:53" ht="50.1" customHeight="1" x14ac:dyDescent="0.25">
      <c r="A666" s="17">
        <f t="shared" si="42"/>
        <v>652</v>
      </c>
      <c r="B666" s="229"/>
      <c r="C666" s="222"/>
      <c r="D666" s="112"/>
      <c r="E666" s="128"/>
      <c r="F666" s="129"/>
      <c r="G666" s="130"/>
      <c r="H666" s="131"/>
      <c r="I666" s="132"/>
      <c r="J666" s="108"/>
      <c r="K666" s="133"/>
      <c r="L666" s="134"/>
      <c r="M666" s="334"/>
      <c r="N666" s="343"/>
      <c r="O666" s="135"/>
      <c r="P666" s="82"/>
      <c r="Q666" s="135"/>
      <c r="R666" s="82"/>
      <c r="S666" s="299"/>
      <c r="T666" s="305"/>
      <c r="U666" s="298"/>
      <c r="V666" s="304"/>
      <c r="W666" s="249"/>
      <c r="X666" s="344"/>
      <c r="Y666" s="337"/>
      <c r="Z666" s="33"/>
      <c r="AA666" s="83"/>
      <c r="AB666" s="33"/>
      <c r="AC666" s="83"/>
      <c r="AD666" s="33"/>
      <c r="AE666" s="83"/>
      <c r="AF666" s="33"/>
      <c r="AG666" s="244"/>
      <c r="AH666" s="83"/>
      <c r="AI666" s="246"/>
      <c r="AJ666" s="102"/>
      <c r="AK666" s="92"/>
      <c r="AL666" s="91"/>
      <c r="AM666" s="92"/>
      <c r="AN666" s="351"/>
      <c r="AO666" s="197">
        <f t="shared" si="43"/>
        <v>0</v>
      </c>
      <c r="AP666" s="91"/>
      <c r="AQ666" s="217"/>
      <c r="AR666" s="103"/>
      <c r="AS666" s="264"/>
      <c r="AT666" s="94"/>
      <c r="AU666" s="84"/>
      <c r="AV666" s="136"/>
      <c r="AW666" s="77"/>
      <c r="AX666" s="137"/>
      <c r="AY666" s="138"/>
      <c r="AZ666" s="220">
        <f t="shared" si="40"/>
        <v>0</v>
      </c>
      <c r="BA666" s="220">
        <f t="shared" si="41"/>
        <v>0</v>
      </c>
    </row>
    <row r="667" spans="1:53" ht="50.1" customHeight="1" x14ac:dyDescent="0.25">
      <c r="A667" s="17">
        <f t="shared" si="42"/>
        <v>653</v>
      </c>
      <c r="B667" s="228"/>
      <c r="C667" s="221"/>
      <c r="D667" s="88"/>
      <c r="E667" s="100"/>
      <c r="F667" s="95"/>
      <c r="G667" s="114"/>
      <c r="H667" s="96"/>
      <c r="I667" s="97"/>
      <c r="J667" s="98"/>
      <c r="K667" s="101"/>
      <c r="L667" s="124"/>
      <c r="M667" s="333"/>
      <c r="N667" s="341"/>
      <c r="O667" s="82"/>
      <c r="P667" s="93"/>
      <c r="Q667" s="82"/>
      <c r="R667" s="93"/>
      <c r="S667" s="298"/>
      <c r="T667" s="304"/>
      <c r="U667" s="307"/>
      <c r="V667" s="309"/>
      <c r="W667" s="248"/>
      <c r="X667" s="342"/>
      <c r="Y667" s="336"/>
      <c r="Z667" s="123"/>
      <c r="AA667" s="33"/>
      <c r="AB667" s="123"/>
      <c r="AC667" s="33"/>
      <c r="AD667" s="123"/>
      <c r="AE667" s="33"/>
      <c r="AF667" s="123"/>
      <c r="AG667" s="243"/>
      <c r="AH667" s="33"/>
      <c r="AI667" s="245"/>
      <c r="AJ667" s="125"/>
      <c r="AK667" s="91"/>
      <c r="AL667" s="126"/>
      <c r="AM667" s="91"/>
      <c r="AN667" s="91"/>
      <c r="AO667" s="197">
        <f t="shared" si="43"/>
        <v>0</v>
      </c>
      <c r="AP667" s="126"/>
      <c r="AQ667" s="216"/>
      <c r="AR667" s="127"/>
      <c r="AS667" s="269"/>
      <c r="AT667" s="94"/>
      <c r="AU667" s="84"/>
      <c r="AV667" s="80"/>
      <c r="AW667" s="81"/>
      <c r="AX667" s="77"/>
      <c r="AY667" s="107"/>
      <c r="AZ667" s="220">
        <f t="shared" si="40"/>
        <v>0</v>
      </c>
      <c r="BA667" s="220">
        <f t="shared" si="41"/>
        <v>0</v>
      </c>
    </row>
    <row r="668" spans="1:53" ht="50.1" customHeight="1" x14ac:dyDescent="0.25">
      <c r="A668" s="17">
        <f t="shared" si="42"/>
        <v>654</v>
      </c>
      <c r="B668" s="229"/>
      <c r="C668" s="222"/>
      <c r="D668" s="112"/>
      <c r="E668" s="128"/>
      <c r="F668" s="129"/>
      <c r="G668" s="130"/>
      <c r="H668" s="131"/>
      <c r="I668" s="132"/>
      <c r="J668" s="108"/>
      <c r="K668" s="133"/>
      <c r="L668" s="134"/>
      <c r="M668" s="334"/>
      <c r="N668" s="343"/>
      <c r="O668" s="135"/>
      <c r="P668" s="82"/>
      <c r="Q668" s="135"/>
      <c r="R668" s="82"/>
      <c r="S668" s="299"/>
      <c r="T668" s="305"/>
      <c r="U668" s="298"/>
      <c r="V668" s="304"/>
      <c r="W668" s="249"/>
      <c r="X668" s="344"/>
      <c r="Y668" s="337"/>
      <c r="Z668" s="33"/>
      <c r="AA668" s="83"/>
      <c r="AB668" s="33"/>
      <c r="AC668" s="83"/>
      <c r="AD668" s="33"/>
      <c r="AE668" s="83"/>
      <c r="AF668" s="33"/>
      <c r="AG668" s="244"/>
      <c r="AH668" s="83"/>
      <c r="AI668" s="246"/>
      <c r="AJ668" s="102"/>
      <c r="AK668" s="92"/>
      <c r="AL668" s="91"/>
      <c r="AM668" s="92"/>
      <c r="AN668" s="351"/>
      <c r="AO668" s="197">
        <f t="shared" si="43"/>
        <v>0</v>
      </c>
      <c r="AP668" s="91"/>
      <c r="AQ668" s="217"/>
      <c r="AR668" s="103"/>
      <c r="AS668" s="264"/>
      <c r="AT668" s="94"/>
      <c r="AU668" s="84"/>
      <c r="AV668" s="136"/>
      <c r="AW668" s="77"/>
      <c r="AX668" s="137"/>
      <c r="AY668" s="138"/>
      <c r="AZ668" s="220">
        <f t="shared" si="40"/>
        <v>0</v>
      </c>
      <c r="BA668" s="220">
        <f t="shared" si="41"/>
        <v>0</v>
      </c>
    </row>
    <row r="669" spans="1:53" ht="50.1" customHeight="1" x14ac:dyDescent="0.25">
      <c r="A669" s="17">
        <f t="shared" si="42"/>
        <v>655</v>
      </c>
      <c r="B669" s="228"/>
      <c r="C669" s="221"/>
      <c r="D669" s="88"/>
      <c r="E669" s="100"/>
      <c r="F669" s="95"/>
      <c r="G669" s="114"/>
      <c r="H669" s="96"/>
      <c r="I669" s="97"/>
      <c r="J669" s="98"/>
      <c r="K669" s="101"/>
      <c r="L669" s="124"/>
      <c r="M669" s="333"/>
      <c r="N669" s="341"/>
      <c r="O669" s="82"/>
      <c r="P669" s="93"/>
      <c r="Q669" s="82"/>
      <c r="R669" s="93"/>
      <c r="S669" s="298"/>
      <c r="T669" s="304"/>
      <c r="U669" s="307"/>
      <c r="V669" s="309"/>
      <c r="W669" s="248"/>
      <c r="X669" s="342"/>
      <c r="Y669" s="336"/>
      <c r="Z669" s="123"/>
      <c r="AA669" s="33"/>
      <c r="AB669" s="123"/>
      <c r="AC669" s="33"/>
      <c r="AD669" s="123"/>
      <c r="AE669" s="33"/>
      <c r="AF669" s="123"/>
      <c r="AG669" s="243"/>
      <c r="AH669" s="33"/>
      <c r="AI669" s="245"/>
      <c r="AJ669" s="125"/>
      <c r="AK669" s="91"/>
      <c r="AL669" s="126"/>
      <c r="AM669" s="91"/>
      <c r="AN669" s="91"/>
      <c r="AO669" s="197">
        <f t="shared" si="43"/>
        <v>0</v>
      </c>
      <c r="AP669" s="126"/>
      <c r="AQ669" s="216"/>
      <c r="AR669" s="127"/>
      <c r="AS669" s="269"/>
      <c r="AT669" s="94"/>
      <c r="AU669" s="84"/>
      <c r="AV669" s="80"/>
      <c r="AW669" s="81"/>
      <c r="AX669" s="77"/>
      <c r="AY669" s="107"/>
      <c r="AZ669" s="220">
        <f t="shared" si="40"/>
        <v>0</v>
      </c>
      <c r="BA669" s="220">
        <f t="shared" si="41"/>
        <v>0</v>
      </c>
    </row>
    <row r="670" spans="1:53" ht="50.1" customHeight="1" x14ac:dyDescent="0.25">
      <c r="A670" s="17">
        <f t="shared" si="42"/>
        <v>656</v>
      </c>
      <c r="B670" s="229"/>
      <c r="C670" s="222"/>
      <c r="D670" s="112"/>
      <c r="E670" s="128"/>
      <c r="F670" s="129"/>
      <c r="G670" s="130"/>
      <c r="H670" s="131"/>
      <c r="I670" s="132"/>
      <c r="J670" s="108"/>
      <c r="K670" s="133"/>
      <c r="L670" s="134"/>
      <c r="M670" s="334"/>
      <c r="N670" s="343"/>
      <c r="O670" s="135"/>
      <c r="P670" s="82"/>
      <c r="Q670" s="135"/>
      <c r="R670" s="82"/>
      <c r="S670" s="299"/>
      <c r="T670" s="305"/>
      <c r="U670" s="298"/>
      <c r="V670" s="304"/>
      <c r="W670" s="249"/>
      <c r="X670" s="344"/>
      <c r="Y670" s="337"/>
      <c r="Z670" s="33"/>
      <c r="AA670" s="83"/>
      <c r="AB670" s="33"/>
      <c r="AC670" s="83"/>
      <c r="AD670" s="33"/>
      <c r="AE670" s="83"/>
      <c r="AF670" s="33"/>
      <c r="AG670" s="244"/>
      <c r="AH670" s="83"/>
      <c r="AI670" s="246"/>
      <c r="AJ670" s="102"/>
      <c r="AK670" s="92"/>
      <c r="AL670" s="91"/>
      <c r="AM670" s="92"/>
      <c r="AN670" s="351"/>
      <c r="AO670" s="197">
        <f t="shared" si="43"/>
        <v>0</v>
      </c>
      <c r="AP670" s="91"/>
      <c r="AQ670" s="217"/>
      <c r="AR670" s="103"/>
      <c r="AS670" s="264"/>
      <c r="AT670" s="94"/>
      <c r="AU670" s="84"/>
      <c r="AV670" s="136"/>
      <c r="AW670" s="77"/>
      <c r="AX670" s="137"/>
      <c r="AY670" s="138"/>
      <c r="AZ670" s="220">
        <f t="shared" si="40"/>
        <v>0</v>
      </c>
      <c r="BA670" s="220">
        <f t="shared" si="41"/>
        <v>0</v>
      </c>
    </row>
    <row r="671" spans="1:53" ht="50.1" customHeight="1" x14ac:dyDescent="0.25">
      <c r="A671" s="17">
        <f t="shared" si="42"/>
        <v>657</v>
      </c>
      <c r="B671" s="228"/>
      <c r="C671" s="221"/>
      <c r="D671" s="88"/>
      <c r="E671" s="100"/>
      <c r="F671" s="95"/>
      <c r="G671" s="114"/>
      <c r="H671" s="96"/>
      <c r="I671" s="97"/>
      <c r="J671" s="98"/>
      <c r="K671" s="101"/>
      <c r="L671" s="124"/>
      <c r="M671" s="333"/>
      <c r="N671" s="341"/>
      <c r="O671" s="82"/>
      <c r="P671" s="93"/>
      <c r="Q671" s="82"/>
      <c r="R671" s="93"/>
      <c r="S671" s="298"/>
      <c r="T671" s="304"/>
      <c r="U671" s="307"/>
      <c r="V671" s="309"/>
      <c r="W671" s="248"/>
      <c r="X671" s="342"/>
      <c r="Y671" s="336"/>
      <c r="Z671" s="123"/>
      <c r="AA671" s="33"/>
      <c r="AB671" s="123"/>
      <c r="AC671" s="33"/>
      <c r="AD671" s="123"/>
      <c r="AE671" s="33"/>
      <c r="AF671" s="123"/>
      <c r="AG671" s="243"/>
      <c r="AH671" s="33"/>
      <c r="AI671" s="245"/>
      <c r="AJ671" s="125"/>
      <c r="AK671" s="91"/>
      <c r="AL671" s="126"/>
      <c r="AM671" s="91"/>
      <c r="AN671" s="91"/>
      <c r="AO671" s="197">
        <f t="shared" si="43"/>
        <v>0</v>
      </c>
      <c r="AP671" s="126"/>
      <c r="AQ671" s="216"/>
      <c r="AR671" s="127"/>
      <c r="AS671" s="269"/>
      <c r="AT671" s="94"/>
      <c r="AU671" s="84"/>
      <c r="AV671" s="80"/>
      <c r="AW671" s="81"/>
      <c r="AX671" s="77"/>
      <c r="AY671" s="107"/>
      <c r="AZ671" s="220">
        <f t="shared" si="40"/>
        <v>0</v>
      </c>
      <c r="BA671" s="220">
        <f t="shared" si="41"/>
        <v>0</v>
      </c>
    </row>
    <row r="672" spans="1:53" ht="50.1" customHeight="1" x14ac:dyDescent="0.25">
      <c r="A672" s="17">
        <f t="shared" si="42"/>
        <v>658</v>
      </c>
      <c r="B672" s="229"/>
      <c r="C672" s="222"/>
      <c r="D672" s="112"/>
      <c r="E672" s="128"/>
      <c r="F672" s="129"/>
      <c r="G672" s="130"/>
      <c r="H672" s="131"/>
      <c r="I672" s="132"/>
      <c r="J672" s="108"/>
      <c r="K672" s="133"/>
      <c r="L672" s="134"/>
      <c r="M672" s="334"/>
      <c r="N672" s="343"/>
      <c r="O672" s="135"/>
      <c r="P672" s="82"/>
      <c r="Q672" s="135"/>
      <c r="R672" s="82"/>
      <c r="S672" s="299"/>
      <c r="T672" s="305"/>
      <c r="U672" s="298"/>
      <c r="V672" s="304"/>
      <c r="W672" s="249"/>
      <c r="X672" s="344"/>
      <c r="Y672" s="337"/>
      <c r="Z672" s="33"/>
      <c r="AA672" s="83"/>
      <c r="AB672" s="33"/>
      <c r="AC672" s="83"/>
      <c r="AD672" s="33"/>
      <c r="AE672" s="83"/>
      <c r="AF672" s="33"/>
      <c r="AG672" s="244"/>
      <c r="AH672" s="83"/>
      <c r="AI672" s="246"/>
      <c r="AJ672" s="102"/>
      <c r="AK672" s="92"/>
      <c r="AL672" s="91"/>
      <c r="AM672" s="92"/>
      <c r="AN672" s="351"/>
      <c r="AO672" s="197">
        <f t="shared" si="43"/>
        <v>0</v>
      </c>
      <c r="AP672" s="91"/>
      <c r="AQ672" s="217"/>
      <c r="AR672" s="103"/>
      <c r="AS672" s="264"/>
      <c r="AT672" s="94"/>
      <c r="AU672" s="84"/>
      <c r="AV672" s="136"/>
      <c r="AW672" s="77"/>
      <c r="AX672" s="137"/>
      <c r="AY672" s="138"/>
      <c r="AZ672" s="220">
        <f t="shared" si="40"/>
        <v>0</v>
      </c>
      <c r="BA672" s="220">
        <f t="shared" si="41"/>
        <v>0</v>
      </c>
    </row>
    <row r="673" spans="1:53" ht="50.1" customHeight="1" x14ac:dyDescent="0.25">
      <c r="A673" s="17">
        <f t="shared" si="42"/>
        <v>659</v>
      </c>
      <c r="B673" s="228"/>
      <c r="C673" s="221"/>
      <c r="D673" s="88"/>
      <c r="E673" s="100"/>
      <c r="F673" s="95"/>
      <c r="G673" s="114"/>
      <c r="H673" s="96"/>
      <c r="I673" s="97"/>
      <c r="J673" s="98"/>
      <c r="K673" s="101"/>
      <c r="L673" s="124"/>
      <c r="M673" s="333"/>
      <c r="N673" s="341"/>
      <c r="O673" s="82"/>
      <c r="P673" s="93"/>
      <c r="Q673" s="82"/>
      <c r="R673" s="93"/>
      <c r="S673" s="298"/>
      <c r="T673" s="304"/>
      <c r="U673" s="307"/>
      <c r="V673" s="309"/>
      <c r="W673" s="248"/>
      <c r="X673" s="342"/>
      <c r="Y673" s="336"/>
      <c r="Z673" s="123"/>
      <c r="AA673" s="33"/>
      <c r="AB673" s="123"/>
      <c r="AC673" s="33"/>
      <c r="AD673" s="123"/>
      <c r="AE673" s="33"/>
      <c r="AF673" s="123"/>
      <c r="AG673" s="243"/>
      <c r="AH673" s="33"/>
      <c r="AI673" s="245"/>
      <c r="AJ673" s="125"/>
      <c r="AK673" s="91"/>
      <c r="AL673" s="126"/>
      <c r="AM673" s="91"/>
      <c r="AN673" s="91"/>
      <c r="AO673" s="197">
        <f t="shared" si="43"/>
        <v>0</v>
      </c>
      <c r="AP673" s="126"/>
      <c r="AQ673" s="216"/>
      <c r="AR673" s="127"/>
      <c r="AS673" s="269"/>
      <c r="AT673" s="94"/>
      <c r="AU673" s="84"/>
      <c r="AV673" s="80"/>
      <c r="AW673" s="81"/>
      <c r="AX673" s="77"/>
      <c r="AY673" s="107"/>
      <c r="AZ673" s="220">
        <f t="shared" si="40"/>
        <v>0</v>
      </c>
      <c r="BA673" s="220">
        <f t="shared" si="41"/>
        <v>0</v>
      </c>
    </row>
    <row r="674" spans="1:53" ht="50.1" customHeight="1" x14ac:dyDescent="0.25">
      <c r="A674" s="17">
        <f t="shared" si="42"/>
        <v>660</v>
      </c>
      <c r="B674" s="229"/>
      <c r="C674" s="222"/>
      <c r="D674" s="112"/>
      <c r="E674" s="128"/>
      <c r="F674" s="129"/>
      <c r="G674" s="130"/>
      <c r="H674" s="131"/>
      <c r="I674" s="132"/>
      <c r="J674" s="108"/>
      <c r="K674" s="133"/>
      <c r="L674" s="134"/>
      <c r="M674" s="334"/>
      <c r="N674" s="343"/>
      <c r="O674" s="135"/>
      <c r="P674" s="82"/>
      <c r="Q674" s="135"/>
      <c r="R674" s="82"/>
      <c r="S674" s="299"/>
      <c r="T674" s="305"/>
      <c r="U674" s="298"/>
      <c r="V674" s="304"/>
      <c r="W674" s="249"/>
      <c r="X674" s="344"/>
      <c r="Y674" s="337"/>
      <c r="Z674" s="33"/>
      <c r="AA674" s="83"/>
      <c r="AB674" s="33"/>
      <c r="AC674" s="83"/>
      <c r="AD674" s="33"/>
      <c r="AE674" s="83"/>
      <c r="AF674" s="33"/>
      <c r="AG674" s="244"/>
      <c r="AH674" s="83"/>
      <c r="AI674" s="246"/>
      <c r="AJ674" s="102"/>
      <c r="AK674" s="92"/>
      <c r="AL674" s="91"/>
      <c r="AM674" s="92"/>
      <c r="AN674" s="351"/>
      <c r="AO674" s="197">
        <f t="shared" si="43"/>
        <v>0</v>
      </c>
      <c r="AP674" s="91"/>
      <c r="AQ674" s="217"/>
      <c r="AR674" s="103"/>
      <c r="AS674" s="264"/>
      <c r="AT674" s="94"/>
      <c r="AU674" s="84"/>
      <c r="AV674" s="136"/>
      <c r="AW674" s="77"/>
      <c r="AX674" s="137"/>
      <c r="AY674" s="138"/>
      <c r="AZ674" s="220">
        <f t="shared" si="40"/>
        <v>0</v>
      </c>
      <c r="BA674" s="220">
        <f t="shared" si="41"/>
        <v>0</v>
      </c>
    </row>
    <row r="675" spans="1:53" ht="50.1" customHeight="1" x14ac:dyDescent="0.25">
      <c r="A675" s="17">
        <f t="shared" si="42"/>
        <v>661</v>
      </c>
      <c r="B675" s="228"/>
      <c r="C675" s="221"/>
      <c r="D675" s="88"/>
      <c r="E675" s="100"/>
      <c r="F675" s="95"/>
      <c r="G675" s="114"/>
      <c r="H675" s="96"/>
      <c r="I675" s="97"/>
      <c r="J675" s="98"/>
      <c r="K675" s="101"/>
      <c r="L675" s="124"/>
      <c r="M675" s="333"/>
      <c r="N675" s="341"/>
      <c r="O675" s="82"/>
      <c r="P675" s="93"/>
      <c r="Q675" s="82"/>
      <c r="R675" s="93"/>
      <c r="S675" s="298"/>
      <c r="T675" s="304"/>
      <c r="U675" s="307"/>
      <c r="V675" s="309"/>
      <c r="W675" s="248"/>
      <c r="X675" s="342"/>
      <c r="Y675" s="336"/>
      <c r="Z675" s="123"/>
      <c r="AA675" s="33"/>
      <c r="AB675" s="123"/>
      <c r="AC675" s="33"/>
      <c r="AD675" s="123"/>
      <c r="AE675" s="33"/>
      <c r="AF675" s="123"/>
      <c r="AG675" s="243"/>
      <c r="AH675" s="33"/>
      <c r="AI675" s="245"/>
      <c r="AJ675" s="125"/>
      <c r="AK675" s="91"/>
      <c r="AL675" s="126"/>
      <c r="AM675" s="91"/>
      <c r="AN675" s="91"/>
      <c r="AO675" s="197">
        <f t="shared" si="43"/>
        <v>0</v>
      </c>
      <c r="AP675" s="126"/>
      <c r="AQ675" s="216"/>
      <c r="AR675" s="127"/>
      <c r="AS675" s="269"/>
      <c r="AT675" s="94"/>
      <c r="AU675" s="84"/>
      <c r="AV675" s="80"/>
      <c r="AW675" s="81"/>
      <c r="AX675" s="77"/>
      <c r="AY675" s="107"/>
      <c r="AZ675" s="220">
        <f t="shared" si="40"/>
        <v>0</v>
      </c>
      <c r="BA675" s="220">
        <f t="shared" si="41"/>
        <v>0</v>
      </c>
    </row>
    <row r="676" spans="1:53" ht="50.1" customHeight="1" x14ac:dyDescent="0.25">
      <c r="A676" s="17">
        <f t="shared" si="42"/>
        <v>662</v>
      </c>
      <c r="B676" s="229"/>
      <c r="C676" s="222"/>
      <c r="D676" s="112"/>
      <c r="E676" s="128"/>
      <c r="F676" s="129"/>
      <c r="G676" s="130"/>
      <c r="H676" s="131"/>
      <c r="I676" s="132"/>
      <c r="J676" s="108"/>
      <c r="K676" s="133"/>
      <c r="L676" s="134"/>
      <c r="M676" s="334"/>
      <c r="N676" s="343"/>
      <c r="O676" s="135"/>
      <c r="P676" s="82"/>
      <c r="Q676" s="135"/>
      <c r="R676" s="82"/>
      <c r="S676" s="299"/>
      <c r="T676" s="305"/>
      <c r="U676" s="298"/>
      <c r="V676" s="304"/>
      <c r="W676" s="249"/>
      <c r="X676" s="344"/>
      <c r="Y676" s="337"/>
      <c r="Z676" s="33"/>
      <c r="AA676" s="83"/>
      <c r="AB676" s="33"/>
      <c r="AC676" s="83"/>
      <c r="AD676" s="33"/>
      <c r="AE676" s="83"/>
      <c r="AF676" s="33"/>
      <c r="AG676" s="244"/>
      <c r="AH676" s="83"/>
      <c r="AI676" s="246"/>
      <c r="AJ676" s="102"/>
      <c r="AK676" s="92"/>
      <c r="AL676" s="91"/>
      <c r="AM676" s="92"/>
      <c r="AN676" s="351"/>
      <c r="AO676" s="197">
        <f t="shared" si="43"/>
        <v>0</v>
      </c>
      <c r="AP676" s="91"/>
      <c r="AQ676" s="217"/>
      <c r="AR676" s="103"/>
      <c r="AS676" s="264"/>
      <c r="AT676" s="94"/>
      <c r="AU676" s="84"/>
      <c r="AV676" s="136"/>
      <c r="AW676" s="77"/>
      <c r="AX676" s="137"/>
      <c r="AY676" s="138"/>
      <c r="AZ676" s="220">
        <f t="shared" si="40"/>
        <v>0</v>
      </c>
      <c r="BA676" s="220">
        <f t="shared" si="41"/>
        <v>0</v>
      </c>
    </row>
    <row r="677" spans="1:53" ht="50.1" customHeight="1" x14ac:dyDescent="0.25">
      <c r="A677" s="17">
        <f t="shared" si="42"/>
        <v>663</v>
      </c>
      <c r="B677" s="228"/>
      <c r="C677" s="221"/>
      <c r="D677" s="88"/>
      <c r="E677" s="100"/>
      <c r="F677" s="95"/>
      <c r="G677" s="114"/>
      <c r="H677" s="96"/>
      <c r="I677" s="97"/>
      <c r="J677" s="98"/>
      <c r="K677" s="101"/>
      <c r="L677" s="124"/>
      <c r="M677" s="333"/>
      <c r="N677" s="341"/>
      <c r="O677" s="82"/>
      <c r="P677" s="93"/>
      <c r="Q677" s="82"/>
      <c r="R677" s="93"/>
      <c r="S677" s="298"/>
      <c r="T677" s="304"/>
      <c r="U677" s="307"/>
      <c r="V677" s="309"/>
      <c r="W677" s="248"/>
      <c r="X677" s="342"/>
      <c r="Y677" s="336"/>
      <c r="Z677" s="123"/>
      <c r="AA677" s="33"/>
      <c r="AB677" s="123"/>
      <c r="AC677" s="33"/>
      <c r="AD677" s="123"/>
      <c r="AE677" s="33"/>
      <c r="AF677" s="123"/>
      <c r="AG677" s="243"/>
      <c r="AH677" s="33"/>
      <c r="AI677" s="245"/>
      <c r="AJ677" s="125"/>
      <c r="AK677" s="91"/>
      <c r="AL677" s="126"/>
      <c r="AM677" s="91"/>
      <c r="AN677" s="91"/>
      <c r="AO677" s="197">
        <f t="shared" si="43"/>
        <v>0</v>
      </c>
      <c r="AP677" s="126"/>
      <c r="AQ677" s="216"/>
      <c r="AR677" s="127"/>
      <c r="AS677" s="269"/>
      <c r="AT677" s="94"/>
      <c r="AU677" s="84"/>
      <c r="AV677" s="80"/>
      <c r="AW677" s="81"/>
      <c r="AX677" s="77"/>
      <c r="AY677" s="107"/>
      <c r="AZ677" s="220">
        <f t="shared" si="40"/>
        <v>0</v>
      </c>
      <c r="BA677" s="220">
        <f t="shared" si="41"/>
        <v>0</v>
      </c>
    </row>
    <row r="678" spans="1:53" ht="50.1" customHeight="1" x14ac:dyDescent="0.25">
      <c r="A678" s="17">
        <f t="shared" si="42"/>
        <v>664</v>
      </c>
      <c r="B678" s="229"/>
      <c r="C678" s="222"/>
      <c r="D678" s="112"/>
      <c r="E678" s="128"/>
      <c r="F678" s="129"/>
      <c r="G678" s="130"/>
      <c r="H678" s="131"/>
      <c r="I678" s="132"/>
      <c r="J678" s="108"/>
      <c r="K678" s="133"/>
      <c r="L678" s="134"/>
      <c r="M678" s="334"/>
      <c r="N678" s="343"/>
      <c r="O678" s="135"/>
      <c r="P678" s="82"/>
      <c r="Q678" s="135"/>
      <c r="R678" s="82"/>
      <c r="S678" s="299"/>
      <c r="T678" s="305"/>
      <c r="U678" s="298"/>
      <c r="V678" s="304"/>
      <c r="W678" s="249"/>
      <c r="X678" s="344"/>
      <c r="Y678" s="337"/>
      <c r="Z678" s="33"/>
      <c r="AA678" s="83"/>
      <c r="AB678" s="33"/>
      <c r="AC678" s="83"/>
      <c r="AD678" s="33"/>
      <c r="AE678" s="83"/>
      <c r="AF678" s="33"/>
      <c r="AG678" s="244"/>
      <c r="AH678" s="83"/>
      <c r="AI678" s="246"/>
      <c r="AJ678" s="102"/>
      <c r="AK678" s="92"/>
      <c r="AL678" s="91"/>
      <c r="AM678" s="92"/>
      <c r="AN678" s="351"/>
      <c r="AO678" s="197">
        <f t="shared" si="43"/>
        <v>0</v>
      </c>
      <c r="AP678" s="91"/>
      <c r="AQ678" s="217"/>
      <c r="AR678" s="103"/>
      <c r="AS678" s="264"/>
      <c r="AT678" s="94"/>
      <c r="AU678" s="84"/>
      <c r="AV678" s="136"/>
      <c r="AW678" s="77"/>
      <c r="AX678" s="137"/>
      <c r="AY678" s="138"/>
      <c r="AZ678" s="220">
        <f t="shared" si="40"/>
        <v>0</v>
      </c>
      <c r="BA678" s="220">
        <f t="shared" si="41"/>
        <v>0</v>
      </c>
    </row>
    <row r="679" spans="1:53" ht="50.1" customHeight="1" x14ac:dyDescent="0.25">
      <c r="A679" s="17">
        <f t="shared" si="42"/>
        <v>665</v>
      </c>
      <c r="B679" s="228"/>
      <c r="C679" s="221"/>
      <c r="D679" s="88"/>
      <c r="E679" s="100"/>
      <c r="F679" s="95"/>
      <c r="G679" s="114"/>
      <c r="H679" s="96"/>
      <c r="I679" s="97"/>
      <c r="J679" s="98"/>
      <c r="K679" s="101"/>
      <c r="L679" s="124"/>
      <c r="M679" s="333"/>
      <c r="N679" s="341"/>
      <c r="O679" s="82"/>
      <c r="P679" s="93"/>
      <c r="Q679" s="82"/>
      <c r="R679" s="93"/>
      <c r="S679" s="298"/>
      <c r="T679" s="304"/>
      <c r="U679" s="307"/>
      <c r="V679" s="309"/>
      <c r="W679" s="248"/>
      <c r="X679" s="342"/>
      <c r="Y679" s="336"/>
      <c r="Z679" s="123"/>
      <c r="AA679" s="33"/>
      <c r="AB679" s="123"/>
      <c r="AC679" s="33"/>
      <c r="AD679" s="123"/>
      <c r="AE679" s="33"/>
      <c r="AF679" s="123"/>
      <c r="AG679" s="243"/>
      <c r="AH679" s="33"/>
      <c r="AI679" s="245"/>
      <c r="AJ679" s="125"/>
      <c r="AK679" s="91"/>
      <c r="AL679" s="126"/>
      <c r="AM679" s="91"/>
      <c r="AN679" s="91"/>
      <c r="AO679" s="197">
        <f t="shared" si="43"/>
        <v>0</v>
      </c>
      <c r="AP679" s="126"/>
      <c r="AQ679" s="216"/>
      <c r="AR679" s="127"/>
      <c r="AS679" s="269"/>
      <c r="AT679" s="94"/>
      <c r="AU679" s="84"/>
      <c r="AV679" s="80"/>
      <c r="AW679" s="81"/>
      <c r="AX679" s="77"/>
      <c r="AY679" s="107"/>
      <c r="AZ679" s="220">
        <f t="shared" si="40"/>
        <v>0</v>
      </c>
      <c r="BA679" s="220">
        <f t="shared" si="41"/>
        <v>0</v>
      </c>
    </row>
    <row r="680" spans="1:53" ht="50.1" customHeight="1" x14ac:dyDescent="0.25">
      <c r="A680" s="17">
        <f t="shared" si="42"/>
        <v>666</v>
      </c>
      <c r="B680" s="229"/>
      <c r="C680" s="222"/>
      <c r="D680" s="112"/>
      <c r="E680" s="128"/>
      <c r="F680" s="129"/>
      <c r="G680" s="130"/>
      <c r="H680" s="131"/>
      <c r="I680" s="132"/>
      <c r="J680" s="108"/>
      <c r="K680" s="133"/>
      <c r="L680" s="134"/>
      <c r="M680" s="334"/>
      <c r="N680" s="343"/>
      <c r="O680" s="135"/>
      <c r="P680" s="82"/>
      <c r="Q680" s="135"/>
      <c r="R680" s="82"/>
      <c r="S680" s="299"/>
      <c r="T680" s="305"/>
      <c r="U680" s="298"/>
      <c r="V680" s="304"/>
      <c r="W680" s="249"/>
      <c r="X680" s="344"/>
      <c r="Y680" s="337"/>
      <c r="Z680" s="33"/>
      <c r="AA680" s="83"/>
      <c r="AB680" s="33"/>
      <c r="AC680" s="83"/>
      <c r="AD680" s="33"/>
      <c r="AE680" s="83"/>
      <c r="AF680" s="33"/>
      <c r="AG680" s="244"/>
      <c r="AH680" s="83"/>
      <c r="AI680" s="246"/>
      <c r="AJ680" s="102"/>
      <c r="AK680" s="92"/>
      <c r="AL680" s="91"/>
      <c r="AM680" s="92"/>
      <c r="AN680" s="351"/>
      <c r="AO680" s="197">
        <f t="shared" si="43"/>
        <v>0</v>
      </c>
      <c r="AP680" s="91"/>
      <c r="AQ680" s="217"/>
      <c r="AR680" s="103"/>
      <c r="AS680" s="264"/>
      <c r="AT680" s="94"/>
      <c r="AU680" s="84"/>
      <c r="AV680" s="136"/>
      <c r="AW680" s="77"/>
      <c r="AX680" s="137"/>
      <c r="AY680" s="138"/>
      <c r="AZ680" s="220">
        <f t="shared" si="40"/>
        <v>0</v>
      </c>
      <c r="BA680" s="220">
        <f t="shared" si="41"/>
        <v>0</v>
      </c>
    </row>
    <row r="681" spans="1:53" ht="50.1" customHeight="1" x14ac:dyDescent="0.25">
      <c r="A681" s="17">
        <f t="shared" si="42"/>
        <v>667</v>
      </c>
      <c r="B681" s="228"/>
      <c r="C681" s="221"/>
      <c r="D681" s="88"/>
      <c r="E681" s="100"/>
      <c r="F681" s="95"/>
      <c r="G681" s="114"/>
      <c r="H681" s="96"/>
      <c r="I681" s="97"/>
      <c r="J681" s="98"/>
      <c r="K681" s="101"/>
      <c r="L681" s="124"/>
      <c r="M681" s="333"/>
      <c r="N681" s="341"/>
      <c r="O681" s="82"/>
      <c r="P681" s="93"/>
      <c r="Q681" s="82"/>
      <c r="R681" s="93"/>
      <c r="S681" s="298"/>
      <c r="T681" s="304"/>
      <c r="U681" s="307"/>
      <c r="V681" s="309"/>
      <c r="W681" s="248"/>
      <c r="X681" s="342"/>
      <c r="Y681" s="336"/>
      <c r="Z681" s="123"/>
      <c r="AA681" s="33"/>
      <c r="AB681" s="123"/>
      <c r="AC681" s="33"/>
      <c r="AD681" s="123"/>
      <c r="AE681" s="33"/>
      <c r="AF681" s="123"/>
      <c r="AG681" s="243"/>
      <c r="AH681" s="33"/>
      <c r="AI681" s="245"/>
      <c r="AJ681" s="125"/>
      <c r="AK681" s="91"/>
      <c r="AL681" s="126"/>
      <c r="AM681" s="91"/>
      <c r="AN681" s="91"/>
      <c r="AO681" s="197">
        <f t="shared" si="43"/>
        <v>0</v>
      </c>
      <c r="AP681" s="126"/>
      <c r="AQ681" s="216"/>
      <c r="AR681" s="127"/>
      <c r="AS681" s="269"/>
      <c r="AT681" s="94"/>
      <c r="AU681" s="84"/>
      <c r="AV681" s="80"/>
      <c r="AW681" s="81"/>
      <c r="AX681" s="77"/>
      <c r="AY681" s="107"/>
      <c r="AZ681" s="220">
        <f t="shared" si="40"/>
        <v>0</v>
      </c>
      <c r="BA681" s="220">
        <f t="shared" si="41"/>
        <v>0</v>
      </c>
    </row>
    <row r="682" spans="1:53" ht="50.1" customHeight="1" x14ac:dyDescent="0.25">
      <c r="A682" s="17">
        <f t="shared" si="42"/>
        <v>668</v>
      </c>
      <c r="B682" s="229"/>
      <c r="C682" s="222"/>
      <c r="D682" s="112"/>
      <c r="E682" s="128"/>
      <c r="F682" s="129"/>
      <c r="G682" s="130"/>
      <c r="H682" s="131"/>
      <c r="I682" s="132"/>
      <c r="J682" s="108"/>
      <c r="K682" s="133"/>
      <c r="L682" s="134"/>
      <c r="M682" s="334"/>
      <c r="N682" s="343"/>
      <c r="O682" s="135"/>
      <c r="P682" s="82"/>
      <c r="Q682" s="135"/>
      <c r="R682" s="82"/>
      <c r="S682" s="299"/>
      <c r="T682" s="305"/>
      <c r="U682" s="298"/>
      <c r="V682" s="304"/>
      <c r="W682" s="249"/>
      <c r="X682" s="344"/>
      <c r="Y682" s="337"/>
      <c r="Z682" s="33"/>
      <c r="AA682" s="83"/>
      <c r="AB682" s="33"/>
      <c r="AC682" s="83"/>
      <c r="AD682" s="33"/>
      <c r="AE682" s="83"/>
      <c r="AF682" s="33"/>
      <c r="AG682" s="244"/>
      <c r="AH682" s="83"/>
      <c r="AI682" s="246"/>
      <c r="AJ682" s="102"/>
      <c r="AK682" s="92"/>
      <c r="AL682" s="91"/>
      <c r="AM682" s="92"/>
      <c r="AN682" s="351"/>
      <c r="AO682" s="197">
        <f t="shared" si="43"/>
        <v>0</v>
      </c>
      <c r="AP682" s="91"/>
      <c r="AQ682" s="217"/>
      <c r="AR682" s="103"/>
      <c r="AS682" s="264"/>
      <c r="AT682" s="94"/>
      <c r="AU682" s="84"/>
      <c r="AV682" s="136"/>
      <c r="AW682" s="77"/>
      <c r="AX682" s="137"/>
      <c r="AY682" s="138"/>
      <c r="AZ682" s="220">
        <f t="shared" si="40"/>
        <v>0</v>
      </c>
      <c r="BA682" s="220">
        <f t="shared" si="41"/>
        <v>0</v>
      </c>
    </row>
    <row r="683" spans="1:53" ht="50.1" customHeight="1" x14ac:dyDescent="0.25">
      <c r="A683" s="17">
        <f t="shared" si="42"/>
        <v>669</v>
      </c>
      <c r="B683" s="228"/>
      <c r="C683" s="221"/>
      <c r="D683" s="88"/>
      <c r="E683" s="100"/>
      <c r="F683" s="95"/>
      <c r="G683" s="114"/>
      <c r="H683" s="96"/>
      <c r="I683" s="97"/>
      <c r="J683" s="98"/>
      <c r="K683" s="101"/>
      <c r="L683" s="124"/>
      <c r="M683" s="333"/>
      <c r="N683" s="341"/>
      <c r="O683" s="82"/>
      <c r="P683" s="93"/>
      <c r="Q683" s="82"/>
      <c r="R683" s="93"/>
      <c r="S683" s="298"/>
      <c r="T683" s="304"/>
      <c r="U683" s="307"/>
      <c r="V683" s="309"/>
      <c r="W683" s="248"/>
      <c r="X683" s="342"/>
      <c r="Y683" s="336"/>
      <c r="Z683" s="123"/>
      <c r="AA683" s="33"/>
      <c r="AB683" s="123"/>
      <c r="AC683" s="33"/>
      <c r="AD683" s="123"/>
      <c r="AE683" s="33"/>
      <c r="AF683" s="123"/>
      <c r="AG683" s="243"/>
      <c r="AH683" s="33"/>
      <c r="AI683" s="245"/>
      <c r="AJ683" s="125"/>
      <c r="AK683" s="91"/>
      <c r="AL683" s="126"/>
      <c r="AM683" s="91"/>
      <c r="AN683" s="91"/>
      <c r="AO683" s="197">
        <f t="shared" si="43"/>
        <v>0</v>
      </c>
      <c r="AP683" s="126"/>
      <c r="AQ683" s="216"/>
      <c r="AR683" s="127"/>
      <c r="AS683" s="269"/>
      <c r="AT683" s="94"/>
      <c r="AU683" s="84"/>
      <c r="AV683" s="80"/>
      <c r="AW683" s="81"/>
      <c r="AX683" s="77"/>
      <c r="AY683" s="107"/>
      <c r="AZ683" s="220">
        <f t="shared" si="40"/>
        <v>0</v>
      </c>
      <c r="BA683" s="220">
        <f t="shared" si="41"/>
        <v>0</v>
      </c>
    </row>
    <row r="684" spans="1:53" ht="50.1" customHeight="1" x14ac:dyDescent="0.25">
      <c r="A684" s="17">
        <f t="shared" si="42"/>
        <v>670</v>
      </c>
      <c r="B684" s="229"/>
      <c r="C684" s="222"/>
      <c r="D684" s="112"/>
      <c r="E684" s="128"/>
      <c r="F684" s="129"/>
      <c r="G684" s="130"/>
      <c r="H684" s="131"/>
      <c r="I684" s="132"/>
      <c r="J684" s="108"/>
      <c r="K684" s="133"/>
      <c r="L684" s="134"/>
      <c r="M684" s="334"/>
      <c r="N684" s="343"/>
      <c r="O684" s="135"/>
      <c r="P684" s="82"/>
      <c r="Q684" s="135"/>
      <c r="R684" s="82"/>
      <c r="S684" s="299"/>
      <c r="T684" s="305"/>
      <c r="U684" s="298"/>
      <c r="V684" s="304"/>
      <c r="W684" s="249"/>
      <c r="X684" s="344"/>
      <c r="Y684" s="337"/>
      <c r="Z684" s="33"/>
      <c r="AA684" s="83"/>
      <c r="AB684" s="33"/>
      <c r="AC684" s="83"/>
      <c r="AD684" s="33"/>
      <c r="AE684" s="83"/>
      <c r="AF684" s="33"/>
      <c r="AG684" s="244"/>
      <c r="AH684" s="83"/>
      <c r="AI684" s="246"/>
      <c r="AJ684" s="102"/>
      <c r="AK684" s="92"/>
      <c r="AL684" s="91"/>
      <c r="AM684" s="92"/>
      <c r="AN684" s="351"/>
      <c r="AO684" s="197">
        <f t="shared" si="43"/>
        <v>0</v>
      </c>
      <c r="AP684" s="91"/>
      <c r="AQ684" s="217"/>
      <c r="AR684" s="103"/>
      <c r="AS684" s="264"/>
      <c r="AT684" s="94"/>
      <c r="AU684" s="84"/>
      <c r="AV684" s="136"/>
      <c r="AW684" s="77"/>
      <c r="AX684" s="137"/>
      <c r="AY684" s="138"/>
      <c r="AZ684" s="220">
        <f t="shared" si="40"/>
        <v>0</v>
      </c>
      <c r="BA684" s="220">
        <f t="shared" si="41"/>
        <v>0</v>
      </c>
    </row>
    <row r="685" spans="1:53" ht="50.1" customHeight="1" x14ac:dyDescent="0.25">
      <c r="A685" s="17">
        <f t="shared" si="42"/>
        <v>671</v>
      </c>
      <c r="B685" s="228"/>
      <c r="C685" s="221"/>
      <c r="D685" s="88"/>
      <c r="E685" s="100"/>
      <c r="F685" s="95"/>
      <c r="G685" s="114"/>
      <c r="H685" s="96"/>
      <c r="I685" s="97"/>
      <c r="J685" s="98"/>
      <c r="K685" s="101"/>
      <c r="L685" s="124"/>
      <c r="M685" s="333"/>
      <c r="N685" s="341"/>
      <c r="O685" s="82"/>
      <c r="P685" s="93"/>
      <c r="Q685" s="82"/>
      <c r="R685" s="93"/>
      <c r="S685" s="298"/>
      <c r="T685" s="304"/>
      <c r="U685" s="307"/>
      <c r="V685" s="309"/>
      <c r="W685" s="248"/>
      <c r="X685" s="342"/>
      <c r="Y685" s="336"/>
      <c r="Z685" s="123"/>
      <c r="AA685" s="33"/>
      <c r="AB685" s="123"/>
      <c r="AC685" s="33"/>
      <c r="AD685" s="123"/>
      <c r="AE685" s="33"/>
      <c r="AF685" s="123"/>
      <c r="AG685" s="243"/>
      <c r="AH685" s="33"/>
      <c r="AI685" s="245"/>
      <c r="AJ685" s="125"/>
      <c r="AK685" s="91"/>
      <c r="AL685" s="126"/>
      <c r="AM685" s="91"/>
      <c r="AN685" s="91"/>
      <c r="AO685" s="197">
        <f t="shared" si="43"/>
        <v>0</v>
      </c>
      <c r="AP685" s="126"/>
      <c r="AQ685" s="216"/>
      <c r="AR685" s="127"/>
      <c r="AS685" s="269"/>
      <c r="AT685" s="94"/>
      <c r="AU685" s="84"/>
      <c r="AV685" s="80"/>
      <c r="AW685" s="81"/>
      <c r="AX685" s="77"/>
      <c r="AY685" s="107"/>
      <c r="AZ685" s="220">
        <f t="shared" si="40"/>
        <v>0</v>
      </c>
      <c r="BA685" s="220">
        <f t="shared" si="41"/>
        <v>0</v>
      </c>
    </row>
    <row r="686" spans="1:53" ht="50.1" customHeight="1" x14ac:dyDescent="0.25">
      <c r="A686" s="17">
        <f t="shared" si="42"/>
        <v>672</v>
      </c>
      <c r="B686" s="229"/>
      <c r="C686" s="222"/>
      <c r="D686" s="112"/>
      <c r="E686" s="128"/>
      <c r="F686" s="129"/>
      <c r="G686" s="130"/>
      <c r="H686" s="131"/>
      <c r="I686" s="132"/>
      <c r="J686" s="108"/>
      <c r="K686" s="133"/>
      <c r="L686" s="134"/>
      <c r="M686" s="334"/>
      <c r="N686" s="343"/>
      <c r="O686" s="135"/>
      <c r="P686" s="82"/>
      <c r="Q686" s="135"/>
      <c r="R686" s="82"/>
      <c r="S686" s="299"/>
      <c r="T686" s="305"/>
      <c r="U686" s="298"/>
      <c r="V686" s="304"/>
      <c r="W686" s="249"/>
      <c r="X686" s="344"/>
      <c r="Y686" s="337"/>
      <c r="Z686" s="33"/>
      <c r="AA686" s="83"/>
      <c r="AB686" s="33"/>
      <c r="AC686" s="83"/>
      <c r="AD686" s="33"/>
      <c r="AE686" s="83"/>
      <c r="AF686" s="33"/>
      <c r="AG686" s="244"/>
      <c r="AH686" s="83"/>
      <c r="AI686" s="246"/>
      <c r="AJ686" s="102"/>
      <c r="AK686" s="92"/>
      <c r="AL686" s="91"/>
      <c r="AM686" s="92"/>
      <c r="AN686" s="351"/>
      <c r="AO686" s="197">
        <f t="shared" si="43"/>
        <v>0</v>
      </c>
      <c r="AP686" s="91"/>
      <c r="AQ686" s="217"/>
      <c r="AR686" s="103"/>
      <c r="AS686" s="264"/>
      <c r="AT686" s="94"/>
      <c r="AU686" s="84"/>
      <c r="AV686" s="136"/>
      <c r="AW686" s="77"/>
      <c r="AX686" s="137"/>
      <c r="AY686" s="138"/>
      <c r="AZ686" s="220">
        <f t="shared" si="40"/>
        <v>0</v>
      </c>
      <c r="BA686" s="220">
        <f t="shared" si="41"/>
        <v>0</v>
      </c>
    </row>
    <row r="687" spans="1:53" ht="50.1" customHeight="1" x14ac:dyDescent="0.25">
      <c r="A687" s="17">
        <f t="shared" si="42"/>
        <v>673</v>
      </c>
      <c r="B687" s="228"/>
      <c r="C687" s="221"/>
      <c r="D687" s="88"/>
      <c r="E687" s="100"/>
      <c r="F687" s="95"/>
      <c r="G687" s="114"/>
      <c r="H687" s="96"/>
      <c r="I687" s="97"/>
      <c r="J687" s="98"/>
      <c r="K687" s="101"/>
      <c r="L687" s="124"/>
      <c r="M687" s="333"/>
      <c r="N687" s="341"/>
      <c r="O687" s="82"/>
      <c r="P687" s="93"/>
      <c r="Q687" s="82"/>
      <c r="R687" s="93"/>
      <c r="S687" s="298"/>
      <c r="T687" s="304"/>
      <c r="U687" s="307"/>
      <c r="V687" s="309"/>
      <c r="W687" s="248"/>
      <c r="X687" s="342"/>
      <c r="Y687" s="336"/>
      <c r="Z687" s="123"/>
      <c r="AA687" s="33"/>
      <c r="AB687" s="123"/>
      <c r="AC687" s="33"/>
      <c r="AD687" s="123"/>
      <c r="AE687" s="33"/>
      <c r="AF687" s="123"/>
      <c r="AG687" s="243"/>
      <c r="AH687" s="33"/>
      <c r="AI687" s="245"/>
      <c r="AJ687" s="125"/>
      <c r="AK687" s="91"/>
      <c r="AL687" s="126"/>
      <c r="AM687" s="91"/>
      <c r="AN687" s="91"/>
      <c r="AO687" s="197">
        <f t="shared" si="43"/>
        <v>0</v>
      </c>
      <c r="AP687" s="126"/>
      <c r="AQ687" s="216"/>
      <c r="AR687" s="127"/>
      <c r="AS687" s="269"/>
      <c r="AT687" s="94"/>
      <c r="AU687" s="84"/>
      <c r="AV687" s="80"/>
      <c r="AW687" s="81"/>
      <c r="AX687" s="77"/>
      <c r="AY687" s="107"/>
      <c r="AZ687" s="220">
        <f t="shared" si="40"/>
        <v>0</v>
      </c>
      <c r="BA687" s="220">
        <f t="shared" si="41"/>
        <v>0</v>
      </c>
    </row>
    <row r="688" spans="1:53" ht="50.1" customHeight="1" x14ac:dyDescent="0.25">
      <c r="A688" s="17">
        <f t="shared" si="42"/>
        <v>674</v>
      </c>
      <c r="B688" s="229"/>
      <c r="C688" s="222"/>
      <c r="D688" s="112"/>
      <c r="E688" s="128"/>
      <c r="F688" s="129"/>
      <c r="G688" s="130"/>
      <c r="H688" s="131"/>
      <c r="I688" s="132"/>
      <c r="J688" s="108"/>
      <c r="K688" s="133"/>
      <c r="L688" s="134"/>
      <c r="M688" s="334"/>
      <c r="N688" s="343"/>
      <c r="O688" s="135"/>
      <c r="P688" s="82"/>
      <c r="Q688" s="135"/>
      <c r="R688" s="82"/>
      <c r="S688" s="299"/>
      <c r="T688" s="305"/>
      <c r="U688" s="298"/>
      <c r="V688" s="304"/>
      <c r="W688" s="249"/>
      <c r="X688" s="344"/>
      <c r="Y688" s="337"/>
      <c r="Z688" s="33"/>
      <c r="AA688" s="83"/>
      <c r="AB688" s="33"/>
      <c r="AC688" s="83"/>
      <c r="AD688" s="33"/>
      <c r="AE688" s="83"/>
      <c r="AF688" s="33"/>
      <c r="AG688" s="244"/>
      <c r="AH688" s="83"/>
      <c r="AI688" s="246"/>
      <c r="AJ688" s="102"/>
      <c r="AK688" s="92"/>
      <c r="AL688" s="91"/>
      <c r="AM688" s="92"/>
      <c r="AN688" s="351"/>
      <c r="AO688" s="197">
        <f t="shared" si="43"/>
        <v>0</v>
      </c>
      <c r="AP688" s="91"/>
      <c r="AQ688" s="217"/>
      <c r="AR688" s="103"/>
      <c r="AS688" s="264"/>
      <c r="AT688" s="94"/>
      <c r="AU688" s="84"/>
      <c r="AV688" s="136"/>
      <c r="AW688" s="77"/>
      <c r="AX688" s="137"/>
      <c r="AY688" s="138"/>
      <c r="AZ688" s="220">
        <f t="shared" si="40"/>
        <v>0</v>
      </c>
      <c r="BA688" s="220">
        <f t="shared" si="41"/>
        <v>0</v>
      </c>
    </row>
    <row r="689" spans="1:53" ht="50.1" customHeight="1" x14ac:dyDescent="0.25">
      <c r="A689" s="17">
        <f t="shared" si="42"/>
        <v>675</v>
      </c>
      <c r="B689" s="228"/>
      <c r="C689" s="221"/>
      <c r="D689" s="88"/>
      <c r="E689" s="100"/>
      <c r="F689" s="95"/>
      <c r="G689" s="114"/>
      <c r="H689" s="96"/>
      <c r="I689" s="97"/>
      <c r="J689" s="98"/>
      <c r="K689" s="101"/>
      <c r="L689" s="124"/>
      <c r="M689" s="333"/>
      <c r="N689" s="341"/>
      <c r="O689" s="82"/>
      <c r="P689" s="93"/>
      <c r="Q689" s="82"/>
      <c r="R689" s="93"/>
      <c r="S689" s="298"/>
      <c r="T689" s="304"/>
      <c r="U689" s="307"/>
      <c r="V689" s="309"/>
      <c r="W689" s="248"/>
      <c r="X689" s="342"/>
      <c r="Y689" s="336"/>
      <c r="Z689" s="123"/>
      <c r="AA689" s="33"/>
      <c r="AB689" s="123"/>
      <c r="AC689" s="33"/>
      <c r="AD689" s="123"/>
      <c r="AE689" s="33"/>
      <c r="AF689" s="123"/>
      <c r="AG689" s="243"/>
      <c r="AH689" s="33"/>
      <c r="AI689" s="245"/>
      <c r="AJ689" s="125"/>
      <c r="AK689" s="91"/>
      <c r="AL689" s="126"/>
      <c r="AM689" s="91"/>
      <c r="AN689" s="91"/>
      <c r="AO689" s="197">
        <f t="shared" si="43"/>
        <v>0</v>
      </c>
      <c r="AP689" s="126"/>
      <c r="AQ689" s="216"/>
      <c r="AR689" s="127"/>
      <c r="AS689" s="269"/>
      <c r="AT689" s="94"/>
      <c r="AU689" s="84"/>
      <c r="AV689" s="80"/>
      <c r="AW689" s="81"/>
      <c r="AX689" s="77"/>
      <c r="AY689" s="107"/>
      <c r="AZ689" s="220">
        <f t="shared" si="40"/>
        <v>0</v>
      </c>
      <c r="BA689" s="220">
        <f t="shared" si="41"/>
        <v>0</v>
      </c>
    </row>
    <row r="690" spans="1:53" ht="50.1" customHeight="1" x14ac:dyDescent="0.25">
      <c r="A690" s="17">
        <f t="shared" si="42"/>
        <v>676</v>
      </c>
      <c r="B690" s="229"/>
      <c r="C690" s="222"/>
      <c r="D690" s="112"/>
      <c r="E690" s="128"/>
      <c r="F690" s="129"/>
      <c r="G690" s="130"/>
      <c r="H690" s="131"/>
      <c r="I690" s="132"/>
      <c r="J690" s="108"/>
      <c r="K690" s="133"/>
      <c r="L690" s="134"/>
      <c r="M690" s="334"/>
      <c r="N690" s="343"/>
      <c r="O690" s="135"/>
      <c r="P690" s="82"/>
      <c r="Q690" s="135"/>
      <c r="R690" s="82"/>
      <c r="S690" s="299"/>
      <c r="T690" s="305"/>
      <c r="U690" s="298"/>
      <c r="V690" s="304"/>
      <c r="W690" s="249"/>
      <c r="X690" s="344"/>
      <c r="Y690" s="337"/>
      <c r="Z690" s="33"/>
      <c r="AA690" s="83"/>
      <c r="AB690" s="33"/>
      <c r="AC690" s="83"/>
      <c r="AD690" s="33"/>
      <c r="AE690" s="83"/>
      <c r="AF690" s="33"/>
      <c r="AG690" s="244"/>
      <c r="AH690" s="83"/>
      <c r="AI690" s="246"/>
      <c r="AJ690" s="102"/>
      <c r="AK690" s="92"/>
      <c r="AL690" s="91"/>
      <c r="AM690" s="92"/>
      <c r="AN690" s="351"/>
      <c r="AO690" s="197">
        <f t="shared" si="43"/>
        <v>0</v>
      </c>
      <c r="AP690" s="91"/>
      <c r="AQ690" s="217"/>
      <c r="AR690" s="103"/>
      <c r="AS690" s="264"/>
      <c r="AT690" s="94"/>
      <c r="AU690" s="84"/>
      <c r="AV690" s="136"/>
      <c r="AW690" s="77"/>
      <c r="AX690" s="137"/>
      <c r="AY690" s="138"/>
      <c r="AZ690" s="220">
        <f t="shared" si="40"/>
        <v>0</v>
      </c>
      <c r="BA690" s="220">
        <f t="shared" si="41"/>
        <v>0</v>
      </c>
    </row>
    <row r="691" spans="1:53" ht="50.1" customHeight="1" x14ac:dyDescent="0.25">
      <c r="A691" s="17">
        <f t="shared" si="42"/>
        <v>677</v>
      </c>
      <c r="B691" s="228"/>
      <c r="C691" s="221"/>
      <c r="D691" s="88"/>
      <c r="E691" s="100"/>
      <c r="F691" s="95"/>
      <c r="G691" s="114"/>
      <c r="H691" s="96"/>
      <c r="I691" s="97"/>
      <c r="J691" s="98"/>
      <c r="K691" s="101"/>
      <c r="L691" s="124"/>
      <c r="M691" s="333"/>
      <c r="N691" s="341"/>
      <c r="O691" s="82"/>
      <c r="P691" s="93"/>
      <c r="Q691" s="82"/>
      <c r="R691" s="93"/>
      <c r="S691" s="298"/>
      <c r="T691" s="304"/>
      <c r="U691" s="307"/>
      <c r="V691" s="309"/>
      <c r="W691" s="248"/>
      <c r="X691" s="342"/>
      <c r="Y691" s="336"/>
      <c r="Z691" s="123"/>
      <c r="AA691" s="33"/>
      <c r="AB691" s="123"/>
      <c r="AC691" s="33"/>
      <c r="AD691" s="123"/>
      <c r="AE691" s="33"/>
      <c r="AF691" s="123"/>
      <c r="AG691" s="243"/>
      <c r="AH691" s="33"/>
      <c r="AI691" s="245"/>
      <c r="AJ691" s="125"/>
      <c r="AK691" s="91"/>
      <c r="AL691" s="126"/>
      <c r="AM691" s="91"/>
      <c r="AN691" s="91"/>
      <c r="AO691" s="197">
        <f t="shared" si="43"/>
        <v>0</v>
      </c>
      <c r="AP691" s="126"/>
      <c r="AQ691" s="216"/>
      <c r="AR691" s="127"/>
      <c r="AS691" s="269"/>
      <c r="AT691" s="94"/>
      <c r="AU691" s="84"/>
      <c r="AV691" s="80"/>
      <c r="AW691" s="81"/>
      <c r="AX691" s="77"/>
      <c r="AY691" s="107"/>
      <c r="AZ691" s="220">
        <f t="shared" si="40"/>
        <v>0</v>
      </c>
      <c r="BA691" s="220">
        <f t="shared" si="41"/>
        <v>0</v>
      </c>
    </row>
    <row r="692" spans="1:53" ht="50.1" customHeight="1" x14ac:dyDescent="0.25">
      <c r="A692" s="17">
        <f t="shared" si="42"/>
        <v>678</v>
      </c>
      <c r="B692" s="229"/>
      <c r="C692" s="222"/>
      <c r="D692" s="112"/>
      <c r="E692" s="128"/>
      <c r="F692" s="129"/>
      <c r="G692" s="130"/>
      <c r="H692" s="131"/>
      <c r="I692" s="132"/>
      <c r="J692" s="108"/>
      <c r="K692" s="133"/>
      <c r="L692" s="134"/>
      <c r="M692" s="334"/>
      <c r="N692" s="343"/>
      <c r="O692" s="135"/>
      <c r="P692" s="82"/>
      <c r="Q692" s="135"/>
      <c r="R692" s="82"/>
      <c r="S692" s="299"/>
      <c r="T692" s="305"/>
      <c r="U692" s="298"/>
      <c r="V692" s="304"/>
      <c r="W692" s="249"/>
      <c r="X692" s="344"/>
      <c r="Y692" s="337"/>
      <c r="Z692" s="33"/>
      <c r="AA692" s="83"/>
      <c r="AB692" s="33"/>
      <c r="AC692" s="83"/>
      <c r="AD692" s="33"/>
      <c r="AE692" s="83"/>
      <c r="AF692" s="33"/>
      <c r="AG692" s="244"/>
      <c r="AH692" s="83"/>
      <c r="AI692" s="246"/>
      <c r="AJ692" s="102"/>
      <c r="AK692" s="92"/>
      <c r="AL692" s="91"/>
      <c r="AM692" s="92"/>
      <c r="AN692" s="351"/>
      <c r="AO692" s="197">
        <f t="shared" si="43"/>
        <v>0</v>
      </c>
      <c r="AP692" s="91"/>
      <c r="AQ692" s="217"/>
      <c r="AR692" s="103"/>
      <c r="AS692" s="264"/>
      <c r="AT692" s="94"/>
      <c r="AU692" s="84"/>
      <c r="AV692" s="136"/>
      <c r="AW692" s="77"/>
      <c r="AX692" s="137"/>
      <c r="AY692" s="138"/>
      <c r="AZ692" s="220">
        <f t="shared" si="40"/>
        <v>0</v>
      </c>
      <c r="BA692" s="220">
        <f t="shared" si="41"/>
        <v>0</v>
      </c>
    </row>
    <row r="693" spans="1:53" ht="50.1" customHeight="1" x14ac:dyDescent="0.25">
      <c r="A693" s="17">
        <f t="shared" si="42"/>
        <v>679</v>
      </c>
      <c r="B693" s="228"/>
      <c r="C693" s="221"/>
      <c r="D693" s="88"/>
      <c r="E693" s="100"/>
      <c r="F693" s="95"/>
      <c r="G693" s="114"/>
      <c r="H693" s="96"/>
      <c r="I693" s="97"/>
      <c r="J693" s="98"/>
      <c r="K693" s="101"/>
      <c r="L693" s="124"/>
      <c r="M693" s="333"/>
      <c r="N693" s="341"/>
      <c r="O693" s="82"/>
      <c r="P693" s="93"/>
      <c r="Q693" s="82"/>
      <c r="R693" s="93"/>
      <c r="S693" s="298"/>
      <c r="T693" s="304"/>
      <c r="U693" s="307"/>
      <c r="V693" s="309"/>
      <c r="W693" s="248"/>
      <c r="X693" s="342"/>
      <c r="Y693" s="336"/>
      <c r="Z693" s="123"/>
      <c r="AA693" s="33"/>
      <c r="AB693" s="123"/>
      <c r="AC693" s="33"/>
      <c r="AD693" s="123"/>
      <c r="AE693" s="33"/>
      <c r="AF693" s="123"/>
      <c r="AG693" s="243"/>
      <c r="AH693" s="33"/>
      <c r="AI693" s="245"/>
      <c r="AJ693" s="125"/>
      <c r="AK693" s="91"/>
      <c r="AL693" s="126"/>
      <c r="AM693" s="91"/>
      <c r="AN693" s="91"/>
      <c r="AO693" s="197">
        <f t="shared" si="43"/>
        <v>0</v>
      </c>
      <c r="AP693" s="126"/>
      <c r="AQ693" s="216"/>
      <c r="AR693" s="127"/>
      <c r="AS693" s="269"/>
      <c r="AT693" s="94"/>
      <c r="AU693" s="84"/>
      <c r="AV693" s="80"/>
      <c r="AW693" s="81"/>
      <c r="AX693" s="77"/>
      <c r="AY693" s="107"/>
      <c r="AZ693" s="220">
        <f t="shared" si="40"/>
        <v>0</v>
      </c>
      <c r="BA693" s="220">
        <f t="shared" si="41"/>
        <v>0</v>
      </c>
    </row>
    <row r="694" spans="1:53" ht="50.1" customHeight="1" x14ac:dyDescent="0.25">
      <c r="A694" s="17">
        <f t="shared" si="42"/>
        <v>680</v>
      </c>
      <c r="B694" s="229"/>
      <c r="C694" s="222"/>
      <c r="D694" s="112"/>
      <c r="E694" s="128"/>
      <c r="F694" s="129"/>
      <c r="G694" s="130"/>
      <c r="H694" s="131"/>
      <c r="I694" s="132"/>
      <c r="J694" s="108"/>
      <c r="K694" s="133"/>
      <c r="L694" s="134"/>
      <c r="M694" s="334"/>
      <c r="N694" s="343"/>
      <c r="O694" s="135"/>
      <c r="P694" s="82"/>
      <c r="Q694" s="135"/>
      <c r="R694" s="82"/>
      <c r="S694" s="299"/>
      <c r="T694" s="305"/>
      <c r="U694" s="298"/>
      <c r="V694" s="304"/>
      <c r="W694" s="249"/>
      <c r="X694" s="344"/>
      <c r="Y694" s="337"/>
      <c r="Z694" s="33"/>
      <c r="AA694" s="83"/>
      <c r="AB694" s="33"/>
      <c r="AC694" s="83"/>
      <c r="AD694" s="33"/>
      <c r="AE694" s="83"/>
      <c r="AF694" s="33"/>
      <c r="AG694" s="244"/>
      <c r="AH694" s="83"/>
      <c r="AI694" s="246"/>
      <c r="AJ694" s="102"/>
      <c r="AK694" s="92"/>
      <c r="AL694" s="91"/>
      <c r="AM694" s="92"/>
      <c r="AN694" s="351"/>
      <c r="AO694" s="197">
        <f t="shared" si="43"/>
        <v>0</v>
      </c>
      <c r="AP694" s="91"/>
      <c r="AQ694" s="217"/>
      <c r="AR694" s="103"/>
      <c r="AS694" s="264"/>
      <c r="AT694" s="94"/>
      <c r="AU694" s="84"/>
      <c r="AV694" s="136"/>
      <c r="AW694" s="77"/>
      <c r="AX694" s="137"/>
      <c r="AY694" s="138"/>
      <c r="AZ694" s="220">
        <f t="shared" si="40"/>
        <v>0</v>
      </c>
      <c r="BA694" s="220">
        <f t="shared" si="41"/>
        <v>0</v>
      </c>
    </row>
    <row r="695" spans="1:53" ht="50.1" customHeight="1" x14ac:dyDescent="0.25">
      <c r="A695" s="17">
        <f t="shared" si="42"/>
        <v>681</v>
      </c>
      <c r="B695" s="228"/>
      <c r="C695" s="221"/>
      <c r="D695" s="88"/>
      <c r="E695" s="100"/>
      <c r="F695" s="95"/>
      <c r="G695" s="114"/>
      <c r="H695" s="96"/>
      <c r="I695" s="97"/>
      <c r="J695" s="98"/>
      <c r="K695" s="101"/>
      <c r="L695" s="124"/>
      <c r="M695" s="333"/>
      <c r="N695" s="341"/>
      <c r="O695" s="82"/>
      <c r="P695" s="93"/>
      <c r="Q695" s="82"/>
      <c r="R695" s="93"/>
      <c r="S695" s="298"/>
      <c r="T695" s="304"/>
      <c r="U695" s="307"/>
      <c r="V695" s="309"/>
      <c r="W695" s="248"/>
      <c r="X695" s="342"/>
      <c r="Y695" s="336"/>
      <c r="Z695" s="123"/>
      <c r="AA695" s="33"/>
      <c r="AB695" s="123"/>
      <c r="AC695" s="33"/>
      <c r="AD695" s="123"/>
      <c r="AE695" s="33"/>
      <c r="AF695" s="123"/>
      <c r="AG695" s="243"/>
      <c r="AH695" s="33"/>
      <c r="AI695" s="245"/>
      <c r="AJ695" s="125"/>
      <c r="AK695" s="91"/>
      <c r="AL695" s="126"/>
      <c r="AM695" s="91"/>
      <c r="AN695" s="91"/>
      <c r="AO695" s="197">
        <f t="shared" si="43"/>
        <v>0</v>
      </c>
      <c r="AP695" s="126"/>
      <c r="AQ695" s="216"/>
      <c r="AR695" s="127"/>
      <c r="AS695" s="269"/>
      <c r="AT695" s="94"/>
      <c r="AU695" s="84"/>
      <c r="AV695" s="80"/>
      <c r="AW695" s="81"/>
      <c r="AX695" s="77"/>
      <c r="AY695" s="107"/>
      <c r="AZ695" s="220">
        <f t="shared" si="40"/>
        <v>0</v>
      </c>
      <c r="BA695" s="220">
        <f t="shared" si="41"/>
        <v>0</v>
      </c>
    </row>
    <row r="696" spans="1:53" ht="50.1" customHeight="1" x14ac:dyDescent="0.25">
      <c r="A696" s="17">
        <f t="shared" si="42"/>
        <v>682</v>
      </c>
      <c r="B696" s="229"/>
      <c r="C696" s="222"/>
      <c r="D696" s="112"/>
      <c r="E696" s="128"/>
      <c r="F696" s="129"/>
      <c r="G696" s="130"/>
      <c r="H696" s="131"/>
      <c r="I696" s="132"/>
      <c r="J696" s="108"/>
      <c r="K696" s="133"/>
      <c r="L696" s="134"/>
      <c r="M696" s="334"/>
      <c r="N696" s="343"/>
      <c r="O696" s="135"/>
      <c r="P696" s="82"/>
      <c r="Q696" s="135"/>
      <c r="R696" s="82"/>
      <c r="S696" s="299"/>
      <c r="T696" s="305"/>
      <c r="U696" s="298"/>
      <c r="V696" s="304"/>
      <c r="W696" s="249"/>
      <c r="X696" s="344"/>
      <c r="Y696" s="337"/>
      <c r="Z696" s="33"/>
      <c r="AA696" s="83"/>
      <c r="AB696" s="33"/>
      <c r="AC696" s="83"/>
      <c r="AD696" s="33"/>
      <c r="AE696" s="83"/>
      <c r="AF696" s="33"/>
      <c r="AG696" s="244"/>
      <c r="AH696" s="83"/>
      <c r="AI696" s="246"/>
      <c r="AJ696" s="102"/>
      <c r="AK696" s="92"/>
      <c r="AL696" s="91"/>
      <c r="AM696" s="92"/>
      <c r="AN696" s="351"/>
      <c r="AO696" s="197">
        <f t="shared" si="43"/>
        <v>0</v>
      </c>
      <c r="AP696" s="91"/>
      <c r="AQ696" s="217"/>
      <c r="AR696" s="103"/>
      <c r="AS696" s="264"/>
      <c r="AT696" s="94"/>
      <c r="AU696" s="84"/>
      <c r="AV696" s="136"/>
      <c r="AW696" s="77"/>
      <c r="AX696" s="137"/>
      <c r="AY696" s="138"/>
      <c r="AZ696" s="220">
        <f t="shared" si="40"/>
        <v>0</v>
      </c>
      <c r="BA696" s="220">
        <f t="shared" si="41"/>
        <v>0</v>
      </c>
    </row>
    <row r="697" spans="1:53" ht="50.1" customHeight="1" x14ac:dyDescent="0.25">
      <c r="A697" s="17">
        <f t="shared" si="42"/>
        <v>683</v>
      </c>
      <c r="B697" s="228"/>
      <c r="C697" s="221"/>
      <c r="D697" s="88"/>
      <c r="E697" s="100"/>
      <c r="F697" s="95"/>
      <c r="G697" s="114"/>
      <c r="H697" s="96"/>
      <c r="I697" s="97"/>
      <c r="J697" s="98"/>
      <c r="K697" s="101"/>
      <c r="L697" s="124"/>
      <c r="M697" s="333"/>
      <c r="N697" s="341"/>
      <c r="O697" s="82"/>
      <c r="P697" s="93"/>
      <c r="Q697" s="82"/>
      <c r="R697" s="93"/>
      <c r="S697" s="298"/>
      <c r="T697" s="304"/>
      <c r="U697" s="307"/>
      <c r="V697" s="309"/>
      <c r="W697" s="248"/>
      <c r="X697" s="342"/>
      <c r="Y697" s="336"/>
      <c r="Z697" s="123"/>
      <c r="AA697" s="33"/>
      <c r="AB697" s="123"/>
      <c r="AC697" s="33"/>
      <c r="AD697" s="123"/>
      <c r="AE697" s="33"/>
      <c r="AF697" s="123"/>
      <c r="AG697" s="243"/>
      <c r="AH697" s="33"/>
      <c r="AI697" s="245"/>
      <c r="AJ697" s="125"/>
      <c r="AK697" s="91"/>
      <c r="AL697" s="126"/>
      <c r="AM697" s="91"/>
      <c r="AN697" s="91"/>
      <c r="AO697" s="197">
        <f t="shared" si="43"/>
        <v>0</v>
      </c>
      <c r="AP697" s="126"/>
      <c r="AQ697" s="216"/>
      <c r="AR697" s="127"/>
      <c r="AS697" s="269"/>
      <c r="AT697" s="94"/>
      <c r="AU697" s="84"/>
      <c r="AV697" s="80"/>
      <c r="AW697" s="81"/>
      <c r="AX697" s="77"/>
      <c r="AY697" s="107"/>
      <c r="AZ697" s="220">
        <f t="shared" si="40"/>
        <v>0</v>
      </c>
      <c r="BA697" s="220">
        <f t="shared" si="41"/>
        <v>0</v>
      </c>
    </row>
    <row r="698" spans="1:53" ht="50.1" customHeight="1" x14ac:dyDescent="0.25">
      <c r="A698" s="17">
        <f t="shared" si="42"/>
        <v>684</v>
      </c>
      <c r="B698" s="229"/>
      <c r="C698" s="222"/>
      <c r="D698" s="112"/>
      <c r="E698" s="128"/>
      <c r="F698" s="129"/>
      <c r="G698" s="130"/>
      <c r="H698" s="131"/>
      <c r="I698" s="132"/>
      <c r="J698" s="108"/>
      <c r="K698" s="133"/>
      <c r="L698" s="134"/>
      <c r="M698" s="334"/>
      <c r="N698" s="343"/>
      <c r="O698" s="135"/>
      <c r="P698" s="82"/>
      <c r="Q698" s="135"/>
      <c r="R698" s="82"/>
      <c r="S698" s="299"/>
      <c r="T698" s="305"/>
      <c r="U698" s="298"/>
      <c r="V698" s="304"/>
      <c r="W698" s="249"/>
      <c r="X698" s="344"/>
      <c r="Y698" s="337"/>
      <c r="Z698" s="33"/>
      <c r="AA698" s="83"/>
      <c r="AB698" s="33"/>
      <c r="AC698" s="83"/>
      <c r="AD698" s="33"/>
      <c r="AE698" s="83"/>
      <c r="AF698" s="33"/>
      <c r="AG698" s="244"/>
      <c r="AH698" s="83"/>
      <c r="AI698" s="246"/>
      <c r="AJ698" s="102"/>
      <c r="AK698" s="92"/>
      <c r="AL698" s="91"/>
      <c r="AM698" s="92"/>
      <c r="AN698" s="351"/>
      <c r="AO698" s="197">
        <f t="shared" si="43"/>
        <v>0</v>
      </c>
      <c r="AP698" s="91"/>
      <c r="AQ698" s="217"/>
      <c r="AR698" s="103"/>
      <c r="AS698" s="264"/>
      <c r="AT698" s="94"/>
      <c r="AU698" s="84"/>
      <c r="AV698" s="136"/>
      <c r="AW698" s="77"/>
      <c r="AX698" s="137"/>
      <c r="AY698" s="138"/>
      <c r="AZ698" s="220">
        <f t="shared" si="40"/>
        <v>0</v>
      </c>
      <c r="BA698" s="220">
        <f t="shared" si="41"/>
        <v>0</v>
      </c>
    </row>
    <row r="699" spans="1:53" ht="50.1" customHeight="1" x14ac:dyDescent="0.25">
      <c r="A699" s="17">
        <f t="shared" si="42"/>
        <v>685</v>
      </c>
      <c r="B699" s="228"/>
      <c r="C699" s="221"/>
      <c r="D699" s="88"/>
      <c r="E699" s="100"/>
      <c r="F699" s="95"/>
      <c r="G699" s="114"/>
      <c r="H699" s="96"/>
      <c r="I699" s="97"/>
      <c r="J699" s="98"/>
      <c r="K699" s="101"/>
      <c r="L699" s="124"/>
      <c r="M699" s="333"/>
      <c r="N699" s="341"/>
      <c r="O699" s="82"/>
      <c r="P699" s="93"/>
      <c r="Q699" s="82"/>
      <c r="R699" s="93"/>
      <c r="S699" s="298"/>
      <c r="T699" s="304"/>
      <c r="U699" s="307"/>
      <c r="V699" s="309"/>
      <c r="W699" s="248"/>
      <c r="X699" s="342"/>
      <c r="Y699" s="336"/>
      <c r="Z699" s="123"/>
      <c r="AA699" s="33"/>
      <c r="AB699" s="123"/>
      <c r="AC699" s="33"/>
      <c r="AD699" s="123"/>
      <c r="AE699" s="33"/>
      <c r="AF699" s="123"/>
      <c r="AG699" s="243"/>
      <c r="AH699" s="33"/>
      <c r="AI699" s="245"/>
      <c r="AJ699" s="125"/>
      <c r="AK699" s="91"/>
      <c r="AL699" s="126"/>
      <c r="AM699" s="91"/>
      <c r="AN699" s="91"/>
      <c r="AO699" s="197">
        <f t="shared" si="43"/>
        <v>0</v>
      </c>
      <c r="AP699" s="126"/>
      <c r="AQ699" s="216"/>
      <c r="AR699" s="127"/>
      <c r="AS699" s="269"/>
      <c r="AT699" s="94"/>
      <c r="AU699" s="84"/>
      <c r="AV699" s="80"/>
      <c r="AW699" s="81"/>
      <c r="AX699" s="77"/>
      <c r="AY699" s="107"/>
      <c r="AZ699" s="220">
        <f t="shared" si="40"/>
        <v>0</v>
      </c>
      <c r="BA699" s="220">
        <f t="shared" si="41"/>
        <v>0</v>
      </c>
    </row>
    <row r="700" spans="1:53" ht="50.1" customHeight="1" x14ac:dyDescent="0.25">
      <c r="A700" s="17">
        <f t="shared" si="42"/>
        <v>686</v>
      </c>
      <c r="B700" s="229"/>
      <c r="C700" s="222"/>
      <c r="D700" s="112"/>
      <c r="E700" s="128"/>
      <c r="F700" s="129"/>
      <c r="G700" s="130"/>
      <c r="H700" s="131"/>
      <c r="I700" s="132"/>
      <c r="J700" s="108"/>
      <c r="K700" s="133"/>
      <c r="L700" s="134"/>
      <c r="M700" s="334"/>
      <c r="N700" s="343"/>
      <c r="O700" s="135"/>
      <c r="P700" s="82"/>
      <c r="Q700" s="135"/>
      <c r="R700" s="82"/>
      <c r="S700" s="299"/>
      <c r="T700" s="305"/>
      <c r="U700" s="298"/>
      <c r="V700" s="304"/>
      <c r="W700" s="249"/>
      <c r="X700" s="344"/>
      <c r="Y700" s="337"/>
      <c r="Z700" s="33"/>
      <c r="AA700" s="83"/>
      <c r="AB700" s="33"/>
      <c r="AC700" s="83"/>
      <c r="AD700" s="33"/>
      <c r="AE700" s="83"/>
      <c r="AF700" s="33"/>
      <c r="AG700" s="244"/>
      <c r="AH700" s="83"/>
      <c r="AI700" s="246"/>
      <c r="AJ700" s="102"/>
      <c r="AK700" s="92"/>
      <c r="AL700" s="91"/>
      <c r="AM700" s="92"/>
      <c r="AN700" s="351"/>
      <c r="AO700" s="197">
        <f t="shared" si="43"/>
        <v>0</v>
      </c>
      <c r="AP700" s="91"/>
      <c r="AQ700" s="217"/>
      <c r="AR700" s="103"/>
      <c r="AS700" s="264"/>
      <c r="AT700" s="94"/>
      <c r="AU700" s="84"/>
      <c r="AV700" s="136"/>
      <c r="AW700" s="77"/>
      <c r="AX700" s="137"/>
      <c r="AY700" s="138"/>
      <c r="AZ700" s="220">
        <f t="shared" si="40"/>
        <v>0</v>
      </c>
      <c r="BA700" s="220">
        <f t="shared" si="41"/>
        <v>0</v>
      </c>
    </row>
    <row r="701" spans="1:53" ht="50.1" customHeight="1" x14ac:dyDescent="0.25">
      <c r="A701" s="17">
        <f t="shared" si="42"/>
        <v>687</v>
      </c>
      <c r="B701" s="228"/>
      <c r="C701" s="221"/>
      <c r="D701" s="88"/>
      <c r="E701" s="100"/>
      <c r="F701" s="95"/>
      <c r="G701" s="114"/>
      <c r="H701" s="96"/>
      <c r="I701" s="97"/>
      <c r="J701" s="98"/>
      <c r="K701" s="101"/>
      <c r="L701" s="124"/>
      <c r="M701" s="333"/>
      <c r="N701" s="341"/>
      <c r="O701" s="82"/>
      <c r="P701" s="93"/>
      <c r="Q701" s="82"/>
      <c r="R701" s="93"/>
      <c r="S701" s="298"/>
      <c r="T701" s="304"/>
      <c r="U701" s="307"/>
      <c r="V701" s="309"/>
      <c r="W701" s="248"/>
      <c r="X701" s="342"/>
      <c r="Y701" s="336"/>
      <c r="Z701" s="123"/>
      <c r="AA701" s="33"/>
      <c r="AB701" s="123"/>
      <c r="AC701" s="33"/>
      <c r="AD701" s="123"/>
      <c r="AE701" s="33"/>
      <c r="AF701" s="123"/>
      <c r="AG701" s="243"/>
      <c r="AH701" s="33"/>
      <c r="AI701" s="245"/>
      <c r="AJ701" s="125"/>
      <c r="AK701" s="91"/>
      <c r="AL701" s="126"/>
      <c r="AM701" s="91"/>
      <c r="AN701" s="91"/>
      <c r="AO701" s="197">
        <f t="shared" si="43"/>
        <v>0</v>
      </c>
      <c r="AP701" s="126"/>
      <c r="AQ701" s="216"/>
      <c r="AR701" s="127"/>
      <c r="AS701" s="269"/>
      <c r="AT701" s="94"/>
      <c r="AU701" s="84"/>
      <c r="AV701" s="80"/>
      <c r="AW701" s="81"/>
      <c r="AX701" s="77"/>
      <c r="AY701" s="107"/>
      <c r="AZ701" s="220">
        <f t="shared" si="40"/>
        <v>0</v>
      </c>
      <c r="BA701" s="220">
        <f t="shared" si="41"/>
        <v>0</v>
      </c>
    </row>
    <row r="702" spans="1:53" ht="50.1" customHeight="1" x14ac:dyDescent="0.25">
      <c r="A702" s="17">
        <f t="shared" si="42"/>
        <v>688</v>
      </c>
      <c r="B702" s="229"/>
      <c r="C702" s="222"/>
      <c r="D702" s="112"/>
      <c r="E702" s="128"/>
      <c r="F702" s="129"/>
      <c r="G702" s="130"/>
      <c r="H702" s="131"/>
      <c r="I702" s="132"/>
      <c r="J702" s="108"/>
      <c r="K702" s="133"/>
      <c r="L702" s="134"/>
      <c r="M702" s="334"/>
      <c r="N702" s="343"/>
      <c r="O702" s="135"/>
      <c r="P702" s="82"/>
      <c r="Q702" s="135"/>
      <c r="R702" s="82"/>
      <c r="S702" s="299"/>
      <c r="T702" s="305"/>
      <c r="U702" s="298"/>
      <c r="V702" s="304"/>
      <c r="W702" s="249"/>
      <c r="X702" s="344"/>
      <c r="Y702" s="337"/>
      <c r="Z702" s="33"/>
      <c r="AA702" s="83"/>
      <c r="AB702" s="33"/>
      <c r="AC702" s="83"/>
      <c r="AD702" s="33"/>
      <c r="AE702" s="83"/>
      <c r="AF702" s="33"/>
      <c r="AG702" s="244"/>
      <c r="AH702" s="83"/>
      <c r="AI702" s="246"/>
      <c r="AJ702" s="102"/>
      <c r="AK702" s="92"/>
      <c r="AL702" s="91"/>
      <c r="AM702" s="92"/>
      <c r="AN702" s="351"/>
      <c r="AO702" s="197">
        <f t="shared" si="43"/>
        <v>0</v>
      </c>
      <c r="AP702" s="91"/>
      <c r="AQ702" s="217"/>
      <c r="AR702" s="103"/>
      <c r="AS702" s="264"/>
      <c r="AT702" s="94"/>
      <c r="AU702" s="84"/>
      <c r="AV702" s="136"/>
      <c r="AW702" s="77"/>
      <c r="AX702" s="137"/>
      <c r="AY702" s="138"/>
      <c r="AZ702" s="220">
        <f t="shared" si="40"/>
        <v>0</v>
      </c>
      <c r="BA702" s="220">
        <f t="shared" si="41"/>
        <v>0</v>
      </c>
    </row>
    <row r="703" spans="1:53" ht="50.1" customHeight="1" x14ac:dyDescent="0.25">
      <c r="A703" s="17">
        <f t="shared" si="42"/>
        <v>689</v>
      </c>
      <c r="B703" s="228"/>
      <c r="C703" s="221"/>
      <c r="D703" s="88"/>
      <c r="E703" s="100"/>
      <c r="F703" s="95"/>
      <c r="G703" s="114"/>
      <c r="H703" s="96"/>
      <c r="I703" s="97"/>
      <c r="J703" s="98"/>
      <c r="K703" s="101"/>
      <c r="L703" s="124"/>
      <c r="M703" s="333"/>
      <c r="N703" s="341"/>
      <c r="O703" s="82"/>
      <c r="P703" s="93"/>
      <c r="Q703" s="82"/>
      <c r="R703" s="93"/>
      <c r="S703" s="298"/>
      <c r="T703" s="304"/>
      <c r="U703" s="307"/>
      <c r="V703" s="309"/>
      <c r="W703" s="248"/>
      <c r="X703" s="342"/>
      <c r="Y703" s="336"/>
      <c r="Z703" s="123"/>
      <c r="AA703" s="33"/>
      <c r="AB703" s="123"/>
      <c r="AC703" s="33"/>
      <c r="AD703" s="123"/>
      <c r="AE703" s="33"/>
      <c r="AF703" s="123"/>
      <c r="AG703" s="243"/>
      <c r="AH703" s="33"/>
      <c r="AI703" s="245"/>
      <c r="AJ703" s="125"/>
      <c r="AK703" s="91"/>
      <c r="AL703" s="126"/>
      <c r="AM703" s="91"/>
      <c r="AN703" s="91"/>
      <c r="AO703" s="197">
        <f t="shared" si="43"/>
        <v>0</v>
      </c>
      <c r="AP703" s="126"/>
      <c r="AQ703" s="216"/>
      <c r="AR703" s="127"/>
      <c r="AS703" s="269"/>
      <c r="AT703" s="94"/>
      <c r="AU703" s="84"/>
      <c r="AV703" s="80"/>
      <c r="AW703" s="81"/>
      <c r="AX703" s="77"/>
      <c r="AY703" s="107"/>
      <c r="AZ703" s="220">
        <f t="shared" si="40"/>
        <v>0</v>
      </c>
      <c r="BA703" s="220">
        <f t="shared" si="41"/>
        <v>0</v>
      </c>
    </row>
    <row r="704" spans="1:53" ht="50.1" customHeight="1" x14ac:dyDescent="0.25">
      <c r="A704" s="17">
        <f t="shared" si="42"/>
        <v>690</v>
      </c>
      <c r="B704" s="229"/>
      <c r="C704" s="222"/>
      <c r="D704" s="112"/>
      <c r="E704" s="128"/>
      <c r="F704" s="129"/>
      <c r="G704" s="130"/>
      <c r="H704" s="131"/>
      <c r="I704" s="132"/>
      <c r="J704" s="108"/>
      <c r="K704" s="133"/>
      <c r="L704" s="134"/>
      <c r="M704" s="334"/>
      <c r="N704" s="343"/>
      <c r="O704" s="135"/>
      <c r="P704" s="82"/>
      <c r="Q704" s="135"/>
      <c r="R704" s="82"/>
      <c r="S704" s="299"/>
      <c r="T704" s="305"/>
      <c r="U704" s="298"/>
      <c r="V704" s="304"/>
      <c r="W704" s="249"/>
      <c r="X704" s="344"/>
      <c r="Y704" s="337"/>
      <c r="Z704" s="33"/>
      <c r="AA704" s="83"/>
      <c r="AB704" s="33"/>
      <c r="AC704" s="83"/>
      <c r="AD704" s="33"/>
      <c r="AE704" s="83"/>
      <c r="AF704" s="33"/>
      <c r="AG704" s="244"/>
      <c r="AH704" s="83"/>
      <c r="AI704" s="246"/>
      <c r="AJ704" s="102"/>
      <c r="AK704" s="92"/>
      <c r="AL704" s="91"/>
      <c r="AM704" s="92"/>
      <c r="AN704" s="351"/>
      <c r="AO704" s="197">
        <f t="shared" si="43"/>
        <v>0</v>
      </c>
      <c r="AP704" s="91"/>
      <c r="AQ704" s="217"/>
      <c r="AR704" s="103"/>
      <c r="AS704" s="264"/>
      <c r="AT704" s="94"/>
      <c r="AU704" s="84"/>
      <c r="AV704" s="136"/>
      <c r="AW704" s="77"/>
      <c r="AX704" s="137"/>
      <c r="AY704" s="138"/>
      <c r="AZ704" s="220">
        <f t="shared" si="40"/>
        <v>0</v>
      </c>
      <c r="BA704" s="220">
        <f t="shared" si="41"/>
        <v>0</v>
      </c>
    </row>
    <row r="705" spans="1:53" ht="50.1" customHeight="1" x14ac:dyDescent="0.25">
      <c r="A705" s="17">
        <f t="shared" si="42"/>
        <v>691</v>
      </c>
      <c r="B705" s="228"/>
      <c r="C705" s="221"/>
      <c r="D705" s="88"/>
      <c r="E705" s="100"/>
      <c r="F705" s="95"/>
      <c r="G705" s="114"/>
      <c r="H705" s="96"/>
      <c r="I705" s="97"/>
      <c r="J705" s="98"/>
      <c r="K705" s="101"/>
      <c r="L705" s="124"/>
      <c r="M705" s="333"/>
      <c r="N705" s="346"/>
      <c r="O705" s="82"/>
      <c r="P705" s="93"/>
      <c r="Q705" s="82"/>
      <c r="R705" s="93"/>
      <c r="S705" s="298"/>
      <c r="T705" s="304"/>
      <c r="U705" s="307"/>
      <c r="V705" s="309"/>
      <c r="W705" s="248"/>
      <c r="X705" s="342"/>
      <c r="Y705" s="336"/>
      <c r="Z705" s="123"/>
      <c r="AA705" s="33"/>
      <c r="AB705" s="123"/>
      <c r="AC705" s="33"/>
      <c r="AD705" s="123"/>
      <c r="AE705" s="33"/>
      <c r="AF705" s="123"/>
      <c r="AG705" s="243"/>
      <c r="AH705" s="33"/>
      <c r="AI705" s="245"/>
      <c r="AJ705" s="125"/>
      <c r="AK705" s="91"/>
      <c r="AL705" s="126"/>
      <c r="AM705" s="91"/>
      <c r="AN705" s="91"/>
      <c r="AO705" s="197">
        <f t="shared" si="43"/>
        <v>0</v>
      </c>
      <c r="AP705" s="126"/>
      <c r="AQ705" s="216"/>
      <c r="AR705" s="127"/>
      <c r="AS705" s="269"/>
      <c r="AT705" s="94"/>
      <c r="AU705" s="84"/>
      <c r="AV705" s="80"/>
      <c r="AW705" s="81"/>
      <c r="AX705" s="77"/>
      <c r="AY705" s="107"/>
      <c r="AZ705" s="220">
        <f t="shared" si="40"/>
        <v>0</v>
      </c>
      <c r="BA705" s="220">
        <f t="shared" si="41"/>
        <v>0</v>
      </c>
    </row>
    <row r="706" spans="1:53" ht="50.1" customHeight="1" x14ac:dyDescent="0.25">
      <c r="A706" s="17">
        <f t="shared" si="42"/>
        <v>692</v>
      </c>
      <c r="B706" s="229"/>
      <c r="C706" s="222"/>
      <c r="D706" s="112"/>
      <c r="E706" s="128"/>
      <c r="F706" s="129"/>
      <c r="G706" s="130"/>
      <c r="H706" s="131"/>
      <c r="I706" s="132"/>
      <c r="J706" s="108"/>
      <c r="K706" s="133"/>
      <c r="L706" s="134"/>
      <c r="M706" s="334"/>
      <c r="N706" s="343"/>
      <c r="O706" s="135"/>
      <c r="P706" s="82"/>
      <c r="Q706" s="135"/>
      <c r="R706" s="82"/>
      <c r="S706" s="299"/>
      <c r="T706" s="305"/>
      <c r="U706" s="298"/>
      <c r="V706" s="304"/>
      <c r="W706" s="249"/>
      <c r="X706" s="344"/>
      <c r="Y706" s="337"/>
      <c r="Z706" s="33"/>
      <c r="AA706" s="83"/>
      <c r="AB706" s="33"/>
      <c r="AC706" s="83"/>
      <c r="AD706" s="33"/>
      <c r="AE706" s="83"/>
      <c r="AF706" s="33"/>
      <c r="AG706" s="244"/>
      <c r="AH706" s="83"/>
      <c r="AI706" s="246"/>
      <c r="AJ706" s="102"/>
      <c r="AK706" s="92"/>
      <c r="AL706" s="91"/>
      <c r="AM706" s="92"/>
      <c r="AN706" s="351"/>
      <c r="AO706" s="197">
        <f t="shared" si="43"/>
        <v>0</v>
      </c>
      <c r="AP706" s="91"/>
      <c r="AQ706" s="217"/>
      <c r="AR706" s="103"/>
      <c r="AS706" s="264"/>
      <c r="AT706" s="94"/>
      <c r="AU706" s="84"/>
      <c r="AV706" s="136"/>
      <c r="AW706" s="77"/>
      <c r="AX706" s="137"/>
      <c r="AY706" s="138"/>
      <c r="AZ706" s="220">
        <f t="shared" si="40"/>
        <v>0</v>
      </c>
      <c r="BA706" s="220">
        <f t="shared" si="41"/>
        <v>0</v>
      </c>
    </row>
    <row r="707" spans="1:53" ht="50.1" customHeight="1" x14ac:dyDescent="0.25">
      <c r="A707" s="17">
        <f t="shared" si="42"/>
        <v>693</v>
      </c>
      <c r="B707" s="228"/>
      <c r="C707" s="221"/>
      <c r="D707" s="88"/>
      <c r="E707" s="100"/>
      <c r="F707" s="95"/>
      <c r="G707" s="114"/>
      <c r="H707" s="96"/>
      <c r="I707" s="97"/>
      <c r="J707" s="98"/>
      <c r="K707" s="101"/>
      <c r="L707" s="124"/>
      <c r="M707" s="333"/>
      <c r="N707" s="341"/>
      <c r="O707" s="82"/>
      <c r="P707" s="93"/>
      <c r="Q707" s="82"/>
      <c r="R707" s="93"/>
      <c r="S707" s="298"/>
      <c r="T707" s="304"/>
      <c r="U707" s="307"/>
      <c r="V707" s="309"/>
      <c r="W707" s="248"/>
      <c r="X707" s="342"/>
      <c r="Y707" s="336"/>
      <c r="Z707" s="123"/>
      <c r="AA707" s="33"/>
      <c r="AB707" s="123"/>
      <c r="AC707" s="33"/>
      <c r="AD707" s="123"/>
      <c r="AE707" s="33"/>
      <c r="AF707" s="123"/>
      <c r="AG707" s="243"/>
      <c r="AH707" s="33"/>
      <c r="AI707" s="245"/>
      <c r="AJ707" s="125"/>
      <c r="AK707" s="91"/>
      <c r="AL707" s="126"/>
      <c r="AM707" s="91"/>
      <c r="AN707" s="91"/>
      <c r="AO707" s="197">
        <f t="shared" si="43"/>
        <v>0</v>
      </c>
      <c r="AP707" s="126"/>
      <c r="AQ707" s="216"/>
      <c r="AR707" s="127"/>
      <c r="AS707" s="269"/>
      <c r="AT707" s="94"/>
      <c r="AU707" s="84"/>
      <c r="AV707" s="80"/>
      <c r="AW707" s="81"/>
      <c r="AX707" s="77"/>
      <c r="AY707" s="107"/>
      <c r="AZ707" s="220">
        <f t="shared" si="40"/>
        <v>0</v>
      </c>
      <c r="BA707" s="220">
        <f t="shared" si="41"/>
        <v>0</v>
      </c>
    </row>
    <row r="708" spans="1:53" ht="50.1" customHeight="1" x14ac:dyDescent="0.25">
      <c r="A708" s="17">
        <f t="shared" si="42"/>
        <v>694</v>
      </c>
      <c r="B708" s="229"/>
      <c r="C708" s="222"/>
      <c r="D708" s="112"/>
      <c r="E708" s="128"/>
      <c r="F708" s="129"/>
      <c r="G708" s="130"/>
      <c r="H708" s="131"/>
      <c r="I708" s="132"/>
      <c r="J708" s="108"/>
      <c r="K708" s="133"/>
      <c r="L708" s="134"/>
      <c r="M708" s="334"/>
      <c r="N708" s="343"/>
      <c r="O708" s="135"/>
      <c r="P708" s="82"/>
      <c r="Q708" s="135"/>
      <c r="R708" s="82"/>
      <c r="S708" s="299"/>
      <c r="T708" s="305"/>
      <c r="U708" s="298"/>
      <c r="V708" s="304"/>
      <c r="W708" s="249"/>
      <c r="X708" s="344"/>
      <c r="Y708" s="337"/>
      <c r="Z708" s="33"/>
      <c r="AA708" s="83"/>
      <c r="AB708" s="33"/>
      <c r="AC708" s="83"/>
      <c r="AD708" s="33"/>
      <c r="AE708" s="83"/>
      <c r="AF708" s="33"/>
      <c r="AG708" s="244"/>
      <c r="AH708" s="83"/>
      <c r="AI708" s="246"/>
      <c r="AJ708" s="102"/>
      <c r="AK708" s="92"/>
      <c r="AL708" s="91"/>
      <c r="AM708" s="92"/>
      <c r="AN708" s="351"/>
      <c r="AO708" s="197">
        <f t="shared" si="43"/>
        <v>0</v>
      </c>
      <c r="AP708" s="91"/>
      <c r="AQ708" s="217"/>
      <c r="AR708" s="103"/>
      <c r="AS708" s="264"/>
      <c r="AT708" s="94"/>
      <c r="AU708" s="84"/>
      <c r="AV708" s="136"/>
      <c r="AW708" s="77"/>
      <c r="AX708" s="137"/>
      <c r="AY708" s="138"/>
      <c r="AZ708" s="220">
        <f t="shared" si="40"/>
        <v>0</v>
      </c>
      <c r="BA708" s="220">
        <f t="shared" si="41"/>
        <v>0</v>
      </c>
    </row>
    <row r="709" spans="1:53" ht="50.1" customHeight="1" x14ac:dyDescent="0.25">
      <c r="A709" s="17">
        <f t="shared" si="42"/>
        <v>695</v>
      </c>
      <c r="B709" s="228"/>
      <c r="C709" s="221"/>
      <c r="D709" s="88"/>
      <c r="E709" s="100"/>
      <c r="F709" s="95"/>
      <c r="G709" s="114"/>
      <c r="H709" s="96"/>
      <c r="I709" s="97"/>
      <c r="J709" s="98"/>
      <c r="K709" s="101"/>
      <c r="L709" s="124"/>
      <c r="M709" s="333"/>
      <c r="N709" s="341"/>
      <c r="O709" s="82"/>
      <c r="P709" s="93"/>
      <c r="Q709" s="82"/>
      <c r="R709" s="93"/>
      <c r="S709" s="298"/>
      <c r="T709" s="304"/>
      <c r="U709" s="307"/>
      <c r="V709" s="309"/>
      <c r="W709" s="248"/>
      <c r="X709" s="342"/>
      <c r="Y709" s="336"/>
      <c r="Z709" s="123"/>
      <c r="AA709" s="33"/>
      <c r="AB709" s="123"/>
      <c r="AC709" s="33"/>
      <c r="AD709" s="123"/>
      <c r="AE709" s="33"/>
      <c r="AF709" s="123"/>
      <c r="AG709" s="243"/>
      <c r="AH709" s="33"/>
      <c r="AI709" s="245"/>
      <c r="AJ709" s="125"/>
      <c r="AK709" s="91"/>
      <c r="AL709" s="126"/>
      <c r="AM709" s="91"/>
      <c r="AN709" s="91"/>
      <c r="AO709" s="197">
        <f t="shared" si="43"/>
        <v>0</v>
      </c>
      <c r="AP709" s="126"/>
      <c r="AQ709" s="216"/>
      <c r="AR709" s="127"/>
      <c r="AS709" s="269"/>
      <c r="AT709" s="94"/>
      <c r="AU709" s="84"/>
      <c r="AV709" s="80"/>
      <c r="AW709" s="81"/>
      <c r="AX709" s="77"/>
      <c r="AY709" s="107"/>
      <c r="AZ709" s="220">
        <f t="shared" si="40"/>
        <v>0</v>
      </c>
      <c r="BA709" s="220">
        <f t="shared" si="41"/>
        <v>0</v>
      </c>
    </row>
    <row r="710" spans="1:53" ht="50.1" customHeight="1" x14ac:dyDescent="0.25">
      <c r="A710" s="17">
        <f t="shared" si="42"/>
        <v>696</v>
      </c>
      <c r="B710" s="229"/>
      <c r="C710" s="222"/>
      <c r="D710" s="112"/>
      <c r="E710" s="128"/>
      <c r="F710" s="129"/>
      <c r="G710" s="130"/>
      <c r="H710" s="131"/>
      <c r="I710" s="132"/>
      <c r="J710" s="108"/>
      <c r="K710" s="133"/>
      <c r="L710" s="134"/>
      <c r="M710" s="334"/>
      <c r="N710" s="343"/>
      <c r="O710" s="135"/>
      <c r="P710" s="82"/>
      <c r="Q710" s="135"/>
      <c r="R710" s="82"/>
      <c r="S710" s="299"/>
      <c r="T710" s="305"/>
      <c r="U710" s="298"/>
      <c r="V710" s="304"/>
      <c r="W710" s="249"/>
      <c r="X710" s="344"/>
      <c r="Y710" s="337"/>
      <c r="Z710" s="33"/>
      <c r="AA710" s="83"/>
      <c r="AB710" s="33"/>
      <c r="AC710" s="83"/>
      <c r="AD710" s="33"/>
      <c r="AE710" s="83"/>
      <c r="AF710" s="33"/>
      <c r="AG710" s="244"/>
      <c r="AH710" s="83"/>
      <c r="AI710" s="246"/>
      <c r="AJ710" s="102"/>
      <c r="AK710" s="92"/>
      <c r="AL710" s="91"/>
      <c r="AM710" s="92"/>
      <c r="AN710" s="351"/>
      <c r="AO710" s="197">
        <f t="shared" si="43"/>
        <v>0</v>
      </c>
      <c r="AP710" s="91"/>
      <c r="AQ710" s="217"/>
      <c r="AR710" s="103"/>
      <c r="AS710" s="264"/>
      <c r="AT710" s="94"/>
      <c r="AU710" s="84"/>
      <c r="AV710" s="136"/>
      <c r="AW710" s="77"/>
      <c r="AX710" s="137"/>
      <c r="AY710" s="138"/>
      <c r="AZ710" s="220">
        <f t="shared" si="40"/>
        <v>0</v>
      </c>
      <c r="BA710" s="220">
        <f t="shared" si="41"/>
        <v>0</v>
      </c>
    </row>
    <row r="711" spans="1:53" ht="50.1" customHeight="1" x14ac:dyDescent="0.25">
      <c r="A711" s="17">
        <f t="shared" si="42"/>
        <v>697</v>
      </c>
      <c r="B711" s="228"/>
      <c r="C711" s="221"/>
      <c r="D711" s="88"/>
      <c r="E711" s="100"/>
      <c r="F711" s="95"/>
      <c r="G711" s="114"/>
      <c r="H711" s="96"/>
      <c r="I711" s="97"/>
      <c r="J711" s="98"/>
      <c r="K711" s="101"/>
      <c r="L711" s="124"/>
      <c r="M711" s="333"/>
      <c r="N711" s="341"/>
      <c r="O711" s="82"/>
      <c r="P711" s="93"/>
      <c r="Q711" s="82"/>
      <c r="R711" s="93"/>
      <c r="S711" s="298"/>
      <c r="T711" s="304"/>
      <c r="U711" s="307"/>
      <c r="V711" s="309"/>
      <c r="W711" s="248"/>
      <c r="X711" s="342"/>
      <c r="Y711" s="336"/>
      <c r="Z711" s="123"/>
      <c r="AA711" s="33"/>
      <c r="AB711" s="123"/>
      <c r="AC711" s="33"/>
      <c r="AD711" s="123"/>
      <c r="AE711" s="33"/>
      <c r="AF711" s="123"/>
      <c r="AG711" s="243"/>
      <c r="AH711" s="33"/>
      <c r="AI711" s="245"/>
      <c r="AJ711" s="125"/>
      <c r="AK711" s="91"/>
      <c r="AL711" s="126"/>
      <c r="AM711" s="91"/>
      <c r="AN711" s="91"/>
      <c r="AO711" s="197">
        <f t="shared" si="43"/>
        <v>0</v>
      </c>
      <c r="AP711" s="126"/>
      <c r="AQ711" s="216"/>
      <c r="AR711" s="127"/>
      <c r="AS711" s="269"/>
      <c r="AT711" s="94"/>
      <c r="AU711" s="84"/>
      <c r="AV711" s="80"/>
      <c r="AW711" s="81"/>
      <c r="AX711" s="77"/>
      <c r="AY711" s="107"/>
      <c r="AZ711" s="220">
        <f t="shared" si="40"/>
        <v>0</v>
      </c>
      <c r="BA711" s="220">
        <f t="shared" si="41"/>
        <v>0</v>
      </c>
    </row>
    <row r="712" spans="1:53" ht="50.1" customHeight="1" x14ac:dyDescent="0.25">
      <c r="A712" s="17">
        <f t="shared" si="42"/>
        <v>698</v>
      </c>
      <c r="B712" s="229"/>
      <c r="C712" s="222"/>
      <c r="D712" s="112"/>
      <c r="E712" s="128"/>
      <c r="F712" s="129"/>
      <c r="G712" s="130"/>
      <c r="H712" s="131"/>
      <c r="I712" s="132"/>
      <c r="J712" s="108"/>
      <c r="K712" s="133"/>
      <c r="L712" s="134"/>
      <c r="M712" s="334"/>
      <c r="N712" s="343"/>
      <c r="O712" s="135"/>
      <c r="P712" s="82"/>
      <c r="Q712" s="135"/>
      <c r="R712" s="82"/>
      <c r="S712" s="299"/>
      <c r="T712" s="305"/>
      <c r="U712" s="298"/>
      <c r="V712" s="304"/>
      <c r="W712" s="249"/>
      <c r="X712" s="344"/>
      <c r="Y712" s="337"/>
      <c r="Z712" s="33"/>
      <c r="AA712" s="83"/>
      <c r="AB712" s="33"/>
      <c r="AC712" s="83"/>
      <c r="AD712" s="33"/>
      <c r="AE712" s="83"/>
      <c r="AF712" s="33"/>
      <c r="AG712" s="244"/>
      <c r="AH712" s="83"/>
      <c r="AI712" s="246"/>
      <c r="AJ712" s="102"/>
      <c r="AK712" s="92"/>
      <c r="AL712" s="91"/>
      <c r="AM712" s="92"/>
      <c r="AN712" s="351"/>
      <c r="AO712" s="197">
        <f t="shared" si="43"/>
        <v>0</v>
      </c>
      <c r="AP712" s="91"/>
      <c r="AQ712" s="217"/>
      <c r="AR712" s="103"/>
      <c r="AS712" s="264"/>
      <c r="AT712" s="94"/>
      <c r="AU712" s="84"/>
      <c r="AV712" s="136"/>
      <c r="AW712" s="77"/>
      <c r="AX712" s="137"/>
      <c r="AY712" s="138"/>
      <c r="AZ712" s="220">
        <f t="shared" si="40"/>
        <v>0</v>
      </c>
      <c r="BA712" s="220">
        <f t="shared" si="41"/>
        <v>0</v>
      </c>
    </row>
    <row r="713" spans="1:53" ht="50.1" customHeight="1" x14ac:dyDescent="0.25">
      <c r="A713" s="17">
        <f t="shared" si="42"/>
        <v>699</v>
      </c>
      <c r="B713" s="228"/>
      <c r="C713" s="221"/>
      <c r="D713" s="88"/>
      <c r="E713" s="100"/>
      <c r="F713" s="95"/>
      <c r="G713" s="114"/>
      <c r="H713" s="96"/>
      <c r="I713" s="97"/>
      <c r="J713" s="98"/>
      <c r="K713" s="101"/>
      <c r="L713" s="124"/>
      <c r="M713" s="333"/>
      <c r="N713" s="341"/>
      <c r="O713" s="82"/>
      <c r="P713" s="93"/>
      <c r="Q713" s="82"/>
      <c r="R713" s="93"/>
      <c r="S713" s="298"/>
      <c r="T713" s="304"/>
      <c r="U713" s="307"/>
      <c r="V713" s="309"/>
      <c r="W713" s="248"/>
      <c r="X713" s="342"/>
      <c r="Y713" s="336"/>
      <c r="Z713" s="123"/>
      <c r="AA713" s="33"/>
      <c r="AB713" s="123"/>
      <c r="AC713" s="33"/>
      <c r="AD713" s="123"/>
      <c r="AE713" s="33"/>
      <c r="AF713" s="123"/>
      <c r="AG713" s="243"/>
      <c r="AH713" s="33"/>
      <c r="AI713" s="245"/>
      <c r="AJ713" s="125"/>
      <c r="AK713" s="91"/>
      <c r="AL713" s="126"/>
      <c r="AM713" s="91"/>
      <c r="AN713" s="91"/>
      <c r="AO713" s="197">
        <f t="shared" si="43"/>
        <v>0</v>
      </c>
      <c r="AP713" s="126"/>
      <c r="AQ713" s="216"/>
      <c r="AR713" s="127"/>
      <c r="AS713" s="269"/>
      <c r="AT713" s="94"/>
      <c r="AU713" s="84"/>
      <c r="AV713" s="80"/>
      <c r="AW713" s="81"/>
      <c r="AX713" s="77"/>
      <c r="AY713" s="107"/>
      <c r="AZ713" s="220">
        <f t="shared" si="40"/>
        <v>0</v>
      </c>
      <c r="BA713" s="220">
        <f t="shared" si="41"/>
        <v>0</v>
      </c>
    </row>
    <row r="714" spans="1:53" ht="50.1" customHeight="1" x14ac:dyDescent="0.25">
      <c r="A714" s="17">
        <f t="shared" si="42"/>
        <v>700</v>
      </c>
      <c r="B714" s="229"/>
      <c r="C714" s="222"/>
      <c r="D714" s="112"/>
      <c r="E714" s="128"/>
      <c r="F714" s="129"/>
      <c r="G714" s="130"/>
      <c r="H714" s="131"/>
      <c r="I714" s="132"/>
      <c r="J714" s="108"/>
      <c r="K714" s="133"/>
      <c r="L714" s="134"/>
      <c r="M714" s="334"/>
      <c r="N714" s="343"/>
      <c r="O714" s="135"/>
      <c r="P714" s="82"/>
      <c r="Q714" s="135"/>
      <c r="R714" s="82"/>
      <c r="S714" s="299"/>
      <c r="T714" s="305"/>
      <c r="U714" s="298"/>
      <c r="V714" s="304"/>
      <c r="W714" s="249"/>
      <c r="X714" s="344"/>
      <c r="Y714" s="337"/>
      <c r="Z714" s="33"/>
      <c r="AA714" s="83"/>
      <c r="AB714" s="33"/>
      <c r="AC714" s="83"/>
      <c r="AD714" s="33"/>
      <c r="AE714" s="83"/>
      <c r="AF714" s="33"/>
      <c r="AG714" s="244"/>
      <c r="AH714" s="83"/>
      <c r="AI714" s="246"/>
      <c r="AJ714" s="102"/>
      <c r="AK714" s="92"/>
      <c r="AL714" s="91"/>
      <c r="AM714" s="92"/>
      <c r="AN714" s="351"/>
      <c r="AO714" s="197">
        <f t="shared" si="43"/>
        <v>0</v>
      </c>
      <c r="AP714" s="91"/>
      <c r="AQ714" s="217"/>
      <c r="AR714" s="103"/>
      <c r="AS714" s="264"/>
      <c r="AT714" s="94"/>
      <c r="AU714" s="84"/>
      <c r="AV714" s="136"/>
      <c r="AW714" s="77"/>
      <c r="AX714" s="137"/>
      <c r="AY714" s="138"/>
      <c r="AZ714" s="220">
        <f t="shared" si="40"/>
        <v>0</v>
      </c>
      <c r="BA714" s="220">
        <f t="shared" si="41"/>
        <v>0</v>
      </c>
    </row>
    <row r="715" spans="1:53" ht="50.1" customHeight="1" x14ac:dyDescent="0.25">
      <c r="A715" s="17">
        <f t="shared" si="42"/>
        <v>701</v>
      </c>
      <c r="B715" s="228"/>
      <c r="C715" s="221"/>
      <c r="D715" s="88"/>
      <c r="E715" s="100"/>
      <c r="F715" s="95"/>
      <c r="G715" s="114"/>
      <c r="H715" s="96"/>
      <c r="I715" s="97"/>
      <c r="J715" s="98"/>
      <c r="K715" s="101"/>
      <c r="L715" s="124"/>
      <c r="M715" s="333"/>
      <c r="N715" s="341"/>
      <c r="O715" s="82"/>
      <c r="P715" s="93"/>
      <c r="Q715" s="82"/>
      <c r="R715" s="93"/>
      <c r="S715" s="298"/>
      <c r="T715" s="304"/>
      <c r="U715" s="307"/>
      <c r="V715" s="309"/>
      <c r="W715" s="248"/>
      <c r="X715" s="342"/>
      <c r="Y715" s="336"/>
      <c r="Z715" s="123"/>
      <c r="AA715" s="33"/>
      <c r="AB715" s="123"/>
      <c r="AC715" s="33"/>
      <c r="AD715" s="123"/>
      <c r="AE715" s="33"/>
      <c r="AF715" s="123"/>
      <c r="AG715" s="243"/>
      <c r="AH715" s="33"/>
      <c r="AI715" s="245"/>
      <c r="AJ715" s="125"/>
      <c r="AK715" s="91"/>
      <c r="AL715" s="126"/>
      <c r="AM715" s="91"/>
      <c r="AN715" s="91"/>
      <c r="AO715" s="197">
        <f t="shared" si="43"/>
        <v>0</v>
      </c>
      <c r="AP715" s="126"/>
      <c r="AQ715" s="216"/>
      <c r="AR715" s="127"/>
      <c r="AS715" s="269"/>
      <c r="AT715" s="94"/>
      <c r="AU715" s="84"/>
      <c r="AV715" s="80"/>
      <c r="AW715" s="81"/>
      <c r="AX715" s="77"/>
      <c r="AY715" s="107"/>
      <c r="AZ715" s="220">
        <f t="shared" si="40"/>
        <v>0</v>
      </c>
      <c r="BA715" s="220">
        <f t="shared" si="41"/>
        <v>0</v>
      </c>
    </row>
    <row r="716" spans="1:53" ht="50.1" customHeight="1" x14ac:dyDescent="0.25">
      <c r="A716" s="17">
        <f t="shared" si="42"/>
        <v>702</v>
      </c>
      <c r="B716" s="229"/>
      <c r="C716" s="222"/>
      <c r="D716" s="112"/>
      <c r="E716" s="128"/>
      <c r="F716" s="129"/>
      <c r="G716" s="130"/>
      <c r="H716" s="131"/>
      <c r="I716" s="132"/>
      <c r="J716" s="108"/>
      <c r="K716" s="133"/>
      <c r="L716" s="134"/>
      <c r="M716" s="334"/>
      <c r="N716" s="343"/>
      <c r="O716" s="135"/>
      <c r="P716" s="82"/>
      <c r="Q716" s="135"/>
      <c r="R716" s="82"/>
      <c r="S716" s="299"/>
      <c r="T716" s="305"/>
      <c r="U716" s="298"/>
      <c r="V716" s="304"/>
      <c r="W716" s="249"/>
      <c r="X716" s="344"/>
      <c r="Y716" s="337"/>
      <c r="Z716" s="33"/>
      <c r="AA716" s="83"/>
      <c r="AB716" s="33"/>
      <c r="AC716" s="83"/>
      <c r="AD716" s="33"/>
      <c r="AE716" s="83"/>
      <c r="AF716" s="33"/>
      <c r="AG716" s="244"/>
      <c r="AH716" s="83"/>
      <c r="AI716" s="246"/>
      <c r="AJ716" s="102"/>
      <c r="AK716" s="92"/>
      <c r="AL716" s="91"/>
      <c r="AM716" s="92"/>
      <c r="AN716" s="351"/>
      <c r="AO716" s="197">
        <f t="shared" si="43"/>
        <v>0</v>
      </c>
      <c r="AP716" s="91"/>
      <c r="AQ716" s="217"/>
      <c r="AR716" s="103"/>
      <c r="AS716" s="264"/>
      <c r="AT716" s="94"/>
      <c r="AU716" s="84"/>
      <c r="AV716" s="136"/>
      <c r="AW716" s="77"/>
      <c r="AX716" s="137"/>
      <c r="AY716" s="138"/>
      <c r="AZ716" s="220">
        <f t="shared" si="40"/>
        <v>0</v>
      </c>
      <c r="BA716" s="220">
        <f t="shared" si="41"/>
        <v>0</v>
      </c>
    </row>
    <row r="717" spans="1:53" ht="50.1" customHeight="1" x14ac:dyDescent="0.25">
      <c r="A717" s="17">
        <f t="shared" si="42"/>
        <v>703</v>
      </c>
      <c r="B717" s="228"/>
      <c r="C717" s="221"/>
      <c r="D717" s="88"/>
      <c r="E717" s="100"/>
      <c r="F717" s="95"/>
      <c r="G717" s="114"/>
      <c r="H717" s="96"/>
      <c r="I717" s="97"/>
      <c r="J717" s="98"/>
      <c r="K717" s="101"/>
      <c r="L717" s="124"/>
      <c r="M717" s="333"/>
      <c r="N717" s="341"/>
      <c r="O717" s="82"/>
      <c r="P717" s="93"/>
      <c r="Q717" s="82"/>
      <c r="R717" s="93"/>
      <c r="S717" s="298"/>
      <c r="T717" s="304"/>
      <c r="U717" s="307"/>
      <c r="V717" s="309"/>
      <c r="W717" s="248"/>
      <c r="X717" s="342"/>
      <c r="Y717" s="336"/>
      <c r="Z717" s="123"/>
      <c r="AA717" s="33"/>
      <c r="AB717" s="123"/>
      <c r="AC717" s="33"/>
      <c r="AD717" s="123"/>
      <c r="AE717" s="33"/>
      <c r="AF717" s="123"/>
      <c r="AG717" s="243"/>
      <c r="AH717" s="33"/>
      <c r="AI717" s="245"/>
      <c r="AJ717" s="125"/>
      <c r="AK717" s="91"/>
      <c r="AL717" s="126"/>
      <c r="AM717" s="91"/>
      <c r="AN717" s="91"/>
      <c r="AO717" s="197">
        <f t="shared" si="43"/>
        <v>0</v>
      </c>
      <c r="AP717" s="126"/>
      <c r="AQ717" s="216"/>
      <c r="AR717" s="127"/>
      <c r="AS717" s="269"/>
      <c r="AT717" s="94"/>
      <c r="AU717" s="84"/>
      <c r="AV717" s="80"/>
      <c r="AW717" s="81"/>
      <c r="AX717" s="77"/>
      <c r="AY717" s="107"/>
      <c r="AZ717" s="220">
        <f t="shared" si="40"/>
        <v>0</v>
      </c>
      <c r="BA717" s="220">
        <f t="shared" si="41"/>
        <v>0</v>
      </c>
    </row>
    <row r="718" spans="1:53" ht="50.1" customHeight="1" x14ac:dyDescent="0.25">
      <c r="A718" s="17">
        <f t="shared" si="42"/>
        <v>704</v>
      </c>
      <c r="B718" s="229"/>
      <c r="C718" s="222"/>
      <c r="D718" s="112"/>
      <c r="E718" s="128"/>
      <c r="F718" s="129"/>
      <c r="G718" s="130"/>
      <c r="H718" s="131"/>
      <c r="I718" s="132"/>
      <c r="J718" s="108"/>
      <c r="K718" s="133"/>
      <c r="L718" s="134"/>
      <c r="M718" s="334"/>
      <c r="N718" s="343"/>
      <c r="O718" s="135"/>
      <c r="P718" s="82"/>
      <c r="Q718" s="135"/>
      <c r="R718" s="82"/>
      <c r="S718" s="299"/>
      <c r="T718" s="305"/>
      <c r="U718" s="298"/>
      <c r="V718" s="304"/>
      <c r="W718" s="249"/>
      <c r="X718" s="344"/>
      <c r="Y718" s="337"/>
      <c r="Z718" s="33"/>
      <c r="AA718" s="83"/>
      <c r="AB718" s="33"/>
      <c r="AC718" s="83"/>
      <c r="AD718" s="33"/>
      <c r="AE718" s="83"/>
      <c r="AF718" s="33"/>
      <c r="AG718" s="244"/>
      <c r="AH718" s="83"/>
      <c r="AI718" s="246"/>
      <c r="AJ718" s="102"/>
      <c r="AK718" s="92"/>
      <c r="AL718" s="91"/>
      <c r="AM718" s="92"/>
      <c r="AN718" s="351"/>
      <c r="AO718" s="197">
        <f t="shared" si="43"/>
        <v>0</v>
      </c>
      <c r="AP718" s="91"/>
      <c r="AQ718" s="217"/>
      <c r="AR718" s="103"/>
      <c r="AS718" s="264"/>
      <c r="AT718" s="94"/>
      <c r="AU718" s="84"/>
      <c r="AV718" s="136"/>
      <c r="AW718" s="77"/>
      <c r="AX718" s="137"/>
      <c r="AY718" s="138"/>
      <c r="AZ718" s="220">
        <f t="shared" si="40"/>
        <v>0</v>
      </c>
      <c r="BA718" s="220">
        <f t="shared" si="41"/>
        <v>0</v>
      </c>
    </row>
    <row r="719" spans="1:53" ht="50.1" customHeight="1" x14ac:dyDescent="0.25">
      <c r="A719" s="17">
        <f t="shared" si="42"/>
        <v>705</v>
      </c>
      <c r="B719" s="228"/>
      <c r="C719" s="221"/>
      <c r="D719" s="88"/>
      <c r="E719" s="100"/>
      <c r="F719" s="95"/>
      <c r="G719" s="114"/>
      <c r="H719" s="96"/>
      <c r="I719" s="97"/>
      <c r="J719" s="98"/>
      <c r="K719" s="101"/>
      <c r="L719" s="124"/>
      <c r="M719" s="333"/>
      <c r="N719" s="341"/>
      <c r="O719" s="82"/>
      <c r="P719" s="93"/>
      <c r="Q719" s="82"/>
      <c r="R719" s="93"/>
      <c r="S719" s="298"/>
      <c r="T719" s="304"/>
      <c r="U719" s="307"/>
      <c r="V719" s="309"/>
      <c r="W719" s="248"/>
      <c r="X719" s="342"/>
      <c r="Y719" s="336"/>
      <c r="Z719" s="123"/>
      <c r="AA719" s="33"/>
      <c r="AB719" s="123"/>
      <c r="AC719" s="33"/>
      <c r="AD719" s="123"/>
      <c r="AE719" s="33"/>
      <c r="AF719" s="123"/>
      <c r="AG719" s="243"/>
      <c r="AH719" s="33"/>
      <c r="AI719" s="245"/>
      <c r="AJ719" s="125"/>
      <c r="AK719" s="91"/>
      <c r="AL719" s="126"/>
      <c r="AM719" s="91"/>
      <c r="AN719" s="91"/>
      <c r="AO719" s="197">
        <f t="shared" si="43"/>
        <v>0</v>
      </c>
      <c r="AP719" s="126"/>
      <c r="AQ719" s="216"/>
      <c r="AR719" s="127"/>
      <c r="AS719" s="269"/>
      <c r="AT719" s="94"/>
      <c r="AU719" s="84"/>
      <c r="AV719" s="80"/>
      <c r="AW719" s="81"/>
      <c r="AX719" s="77"/>
      <c r="AY719" s="107"/>
      <c r="AZ719" s="220">
        <f t="shared" ref="AZ719:AZ782" si="44">M719-B719</f>
        <v>0</v>
      </c>
      <c r="BA719" s="220">
        <f t="shared" ref="BA719:BA782" si="45">AU719-M719</f>
        <v>0</v>
      </c>
    </row>
    <row r="720" spans="1:53" ht="50.1" customHeight="1" x14ac:dyDescent="0.25">
      <c r="A720" s="17">
        <f t="shared" ref="A720:A783" si="46">ROW(A706)</f>
        <v>706</v>
      </c>
      <c r="B720" s="229"/>
      <c r="C720" s="222"/>
      <c r="D720" s="112"/>
      <c r="E720" s="128"/>
      <c r="F720" s="129"/>
      <c r="G720" s="130"/>
      <c r="H720" s="131"/>
      <c r="I720" s="132"/>
      <c r="J720" s="108"/>
      <c r="K720" s="133"/>
      <c r="L720" s="134"/>
      <c r="M720" s="334"/>
      <c r="N720" s="343"/>
      <c r="O720" s="135"/>
      <c r="P720" s="82"/>
      <c r="Q720" s="135"/>
      <c r="R720" s="82"/>
      <c r="S720" s="299"/>
      <c r="T720" s="305"/>
      <c r="U720" s="298"/>
      <c r="V720" s="304"/>
      <c r="W720" s="249"/>
      <c r="X720" s="344"/>
      <c r="Y720" s="337"/>
      <c r="Z720" s="33"/>
      <c r="AA720" s="83"/>
      <c r="AB720" s="33"/>
      <c r="AC720" s="83"/>
      <c r="AD720" s="33"/>
      <c r="AE720" s="83"/>
      <c r="AF720" s="33"/>
      <c r="AG720" s="244"/>
      <c r="AH720" s="83"/>
      <c r="AI720" s="246"/>
      <c r="AJ720" s="102"/>
      <c r="AK720" s="92"/>
      <c r="AL720" s="91"/>
      <c r="AM720" s="92"/>
      <c r="AN720" s="351"/>
      <c r="AO720" s="197">
        <f t="shared" ref="AO720:AO783" si="47">AJ720-AK720-AL720-AM720-AN720</f>
        <v>0</v>
      </c>
      <c r="AP720" s="91"/>
      <c r="AQ720" s="217"/>
      <c r="AR720" s="103"/>
      <c r="AS720" s="264"/>
      <c r="AT720" s="94"/>
      <c r="AU720" s="84"/>
      <c r="AV720" s="136"/>
      <c r="AW720" s="77"/>
      <c r="AX720" s="137"/>
      <c r="AY720" s="138"/>
      <c r="AZ720" s="220">
        <f t="shared" si="44"/>
        <v>0</v>
      </c>
      <c r="BA720" s="220">
        <f t="shared" si="45"/>
        <v>0</v>
      </c>
    </row>
    <row r="721" spans="1:53" ht="50.1" customHeight="1" x14ac:dyDescent="0.25">
      <c r="A721" s="17">
        <f t="shared" si="46"/>
        <v>707</v>
      </c>
      <c r="B721" s="228"/>
      <c r="C721" s="221"/>
      <c r="D721" s="88"/>
      <c r="E721" s="100"/>
      <c r="F721" s="95"/>
      <c r="G721" s="114"/>
      <c r="H721" s="96"/>
      <c r="I721" s="97"/>
      <c r="J721" s="98"/>
      <c r="K721" s="101"/>
      <c r="L721" s="124"/>
      <c r="M721" s="333"/>
      <c r="N721" s="341"/>
      <c r="O721" s="82"/>
      <c r="P721" s="93"/>
      <c r="Q721" s="82"/>
      <c r="R721" s="93"/>
      <c r="S721" s="298"/>
      <c r="T721" s="304"/>
      <c r="U721" s="307"/>
      <c r="V721" s="309"/>
      <c r="W721" s="248"/>
      <c r="X721" s="342"/>
      <c r="Y721" s="336"/>
      <c r="Z721" s="123"/>
      <c r="AA721" s="33"/>
      <c r="AB721" s="123"/>
      <c r="AC721" s="33"/>
      <c r="AD721" s="123"/>
      <c r="AE721" s="33"/>
      <c r="AF721" s="123"/>
      <c r="AG721" s="243"/>
      <c r="AH721" s="33"/>
      <c r="AI721" s="245"/>
      <c r="AJ721" s="125"/>
      <c r="AK721" s="91"/>
      <c r="AL721" s="126"/>
      <c r="AM721" s="91"/>
      <c r="AN721" s="91"/>
      <c r="AO721" s="197">
        <f t="shared" si="47"/>
        <v>0</v>
      </c>
      <c r="AP721" s="126"/>
      <c r="AQ721" s="216"/>
      <c r="AR721" s="127"/>
      <c r="AS721" s="269"/>
      <c r="AT721" s="94"/>
      <c r="AU721" s="84"/>
      <c r="AV721" s="80"/>
      <c r="AW721" s="81"/>
      <c r="AX721" s="77"/>
      <c r="AY721" s="107"/>
      <c r="AZ721" s="220">
        <f t="shared" si="44"/>
        <v>0</v>
      </c>
      <c r="BA721" s="220">
        <f t="shared" si="45"/>
        <v>0</v>
      </c>
    </row>
    <row r="722" spans="1:53" ht="50.1" customHeight="1" x14ac:dyDescent="0.25">
      <c r="A722" s="17">
        <f t="shared" si="46"/>
        <v>708</v>
      </c>
      <c r="B722" s="229"/>
      <c r="C722" s="222"/>
      <c r="D722" s="112"/>
      <c r="E722" s="128"/>
      <c r="F722" s="129"/>
      <c r="G722" s="130"/>
      <c r="H722" s="131"/>
      <c r="I722" s="132"/>
      <c r="J722" s="108"/>
      <c r="K722" s="133"/>
      <c r="L722" s="134"/>
      <c r="M722" s="334"/>
      <c r="N722" s="343"/>
      <c r="O722" s="135"/>
      <c r="P722" s="82"/>
      <c r="Q722" s="135"/>
      <c r="R722" s="82"/>
      <c r="S722" s="299"/>
      <c r="T722" s="305"/>
      <c r="U722" s="298"/>
      <c r="V722" s="304"/>
      <c r="W722" s="249"/>
      <c r="X722" s="344"/>
      <c r="Y722" s="337"/>
      <c r="Z722" s="33"/>
      <c r="AA722" s="83"/>
      <c r="AB722" s="33"/>
      <c r="AC722" s="83"/>
      <c r="AD722" s="33"/>
      <c r="AE722" s="83"/>
      <c r="AF722" s="33"/>
      <c r="AG722" s="244"/>
      <c r="AH722" s="83"/>
      <c r="AI722" s="246"/>
      <c r="AJ722" s="102"/>
      <c r="AK722" s="92"/>
      <c r="AL722" s="91"/>
      <c r="AM722" s="92"/>
      <c r="AN722" s="351"/>
      <c r="AO722" s="197">
        <f t="shared" si="47"/>
        <v>0</v>
      </c>
      <c r="AP722" s="91"/>
      <c r="AQ722" s="217"/>
      <c r="AR722" s="103"/>
      <c r="AS722" s="264"/>
      <c r="AT722" s="94"/>
      <c r="AU722" s="84"/>
      <c r="AV722" s="136"/>
      <c r="AW722" s="77"/>
      <c r="AX722" s="137"/>
      <c r="AY722" s="138"/>
      <c r="AZ722" s="220">
        <f t="shared" si="44"/>
        <v>0</v>
      </c>
      <c r="BA722" s="220">
        <f t="shared" si="45"/>
        <v>0</v>
      </c>
    </row>
    <row r="723" spans="1:53" ht="50.1" customHeight="1" x14ac:dyDescent="0.25">
      <c r="A723" s="17">
        <f t="shared" si="46"/>
        <v>709</v>
      </c>
      <c r="B723" s="228"/>
      <c r="C723" s="221"/>
      <c r="D723" s="88"/>
      <c r="E723" s="100"/>
      <c r="F723" s="95"/>
      <c r="G723" s="114"/>
      <c r="H723" s="96"/>
      <c r="I723" s="97"/>
      <c r="J723" s="98"/>
      <c r="K723" s="101"/>
      <c r="L723" s="124"/>
      <c r="M723" s="333"/>
      <c r="N723" s="341"/>
      <c r="O723" s="82"/>
      <c r="P723" s="93"/>
      <c r="Q723" s="82"/>
      <c r="R723" s="93"/>
      <c r="S723" s="298"/>
      <c r="T723" s="304"/>
      <c r="U723" s="307"/>
      <c r="V723" s="309"/>
      <c r="W723" s="248"/>
      <c r="X723" s="342"/>
      <c r="Y723" s="336"/>
      <c r="Z723" s="123"/>
      <c r="AA723" s="33"/>
      <c r="AB723" s="123"/>
      <c r="AC723" s="33"/>
      <c r="AD723" s="123"/>
      <c r="AE723" s="33"/>
      <c r="AF723" s="123"/>
      <c r="AG723" s="243"/>
      <c r="AH723" s="33"/>
      <c r="AI723" s="245"/>
      <c r="AJ723" s="125"/>
      <c r="AK723" s="91"/>
      <c r="AL723" s="126"/>
      <c r="AM723" s="91"/>
      <c r="AN723" s="91"/>
      <c r="AO723" s="197">
        <f t="shared" si="47"/>
        <v>0</v>
      </c>
      <c r="AP723" s="126"/>
      <c r="AQ723" s="216"/>
      <c r="AR723" s="127"/>
      <c r="AS723" s="269"/>
      <c r="AT723" s="94"/>
      <c r="AU723" s="84"/>
      <c r="AV723" s="80"/>
      <c r="AW723" s="81"/>
      <c r="AX723" s="77"/>
      <c r="AY723" s="107"/>
      <c r="AZ723" s="220">
        <f t="shared" si="44"/>
        <v>0</v>
      </c>
      <c r="BA723" s="220">
        <f t="shared" si="45"/>
        <v>0</v>
      </c>
    </row>
    <row r="724" spans="1:53" ht="50.1" customHeight="1" x14ac:dyDescent="0.25">
      <c r="A724" s="17">
        <f t="shared" si="46"/>
        <v>710</v>
      </c>
      <c r="B724" s="229"/>
      <c r="C724" s="222"/>
      <c r="D724" s="112"/>
      <c r="E724" s="128"/>
      <c r="F724" s="129"/>
      <c r="G724" s="130"/>
      <c r="H724" s="131"/>
      <c r="I724" s="132"/>
      <c r="J724" s="108"/>
      <c r="K724" s="133"/>
      <c r="L724" s="134"/>
      <c r="M724" s="334"/>
      <c r="N724" s="343"/>
      <c r="O724" s="135"/>
      <c r="P724" s="82"/>
      <c r="Q724" s="135"/>
      <c r="R724" s="82"/>
      <c r="S724" s="299"/>
      <c r="T724" s="305"/>
      <c r="U724" s="298"/>
      <c r="V724" s="304"/>
      <c r="W724" s="249"/>
      <c r="X724" s="344"/>
      <c r="Y724" s="337"/>
      <c r="Z724" s="33"/>
      <c r="AA724" s="83"/>
      <c r="AB724" s="33"/>
      <c r="AC724" s="83"/>
      <c r="AD724" s="33"/>
      <c r="AE724" s="83"/>
      <c r="AF724" s="33"/>
      <c r="AG724" s="244"/>
      <c r="AH724" s="83"/>
      <c r="AI724" s="246"/>
      <c r="AJ724" s="102"/>
      <c r="AK724" s="92"/>
      <c r="AL724" s="91"/>
      <c r="AM724" s="92"/>
      <c r="AN724" s="351"/>
      <c r="AO724" s="197">
        <f t="shared" si="47"/>
        <v>0</v>
      </c>
      <c r="AP724" s="91"/>
      <c r="AQ724" s="217"/>
      <c r="AR724" s="103"/>
      <c r="AS724" s="264"/>
      <c r="AT724" s="94"/>
      <c r="AU724" s="84"/>
      <c r="AV724" s="136"/>
      <c r="AW724" s="77"/>
      <c r="AX724" s="137"/>
      <c r="AY724" s="138"/>
      <c r="AZ724" s="220">
        <f t="shared" si="44"/>
        <v>0</v>
      </c>
      <c r="BA724" s="220">
        <f t="shared" si="45"/>
        <v>0</v>
      </c>
    </row>
    <row r="725" spans="1:53" ht="50.1" customHeight="1" x14ac:dyDescent="0.25">
      <c r="A725" s="17">
        <f t="shared" si="46"/>
        <v>711</v>
      </c>
      <c r="B725" s="228"/>
      <c r="C725" s="221"/>
      <c r="D725" s="88"/>
      <c r="E725" s="100"/>
      <c r="F725" s="95"/>
      <c r="G725" s="114"/>
      <c r="H725" s="96"/>
      <c r="I725" s="97"/>
      <c r="J725" s="98"/>
      <c r="K725" s="101"/>
      <c r="L725" s="124"/>
      <c r="M725" s="333"/>
      <c r="N725" s="341"/>
      <c r="O725" s="82"/>
      <c r="P725" s="93"/>
      <c r="Q725" s="82"/>
      <c r="R725" s="93"/>
      <c r="S725" s="298"/>
      <c r="T725" s="304"/>
      <c r="U725" s="307"/>
      <c r="V725" s="309"/>
      <c r="W725" s="248"/>
      <c r="X725" s="342"/>
      <c r="Y725" s="336"/>
      <c r="Z725" s="123"/>
      <c r="AA725" s="33"/>
      <c r="AB725" s="123"/>
      <c r="AC725" s="33"/>
      <c r="AD725" s="123"/>
      <c r="AE725" s="33"/>
      <c r="AF725" s="123"/>
      <c r="AG725" s="243"/>
      <c r="AH725" s="33"/>
      <c r="AI725" s="245"/>
      <c r="AJ725" s="125"/>
      <c r="AK725" s="91"/>
      <c r="AL725" s="126"/>
      <c r="AM725" s="91"/>
      <c r="AN725" s="91"/>
      <c r="AO725" s="197">
        <f t="shared" si="47"/>
        <v>0</v>
      </c>
      <c r="AP725" s="126"/>
      <c r="AQ725" s="216"/>
      <c r="AR725" s="127"/>
      <c r="AS725" s="269"/>
      <c r="AT725" s="94"/>
      <c r="AU725" s="84"/>
      <c r="AV725" s="80"/>
      <c r="AW725" s="81"/>
      <c r="AX725" s="77"/>
      <c r="AY725" s="107"/>
      <c r="AZ725" s="220">
        <f t="shared" si="44"/>
        <v>0</v>
      </c>
      <c r="BA725" s="220">
        <f t="shared" si="45"/>
        <v>0</v>
      </c>
    </row>
    <row r="726" spans="1:53" ht="50.1" customHeight="1" x14ac:dyDescent="0.25">
      <c r="A726" s="17">
        <f t="shared" si="46"/>
        <v>712</v>
      </c>
      <c r="B726" s="229"/>
      <c r="C726" s="222"/>
      <c r="D726" s="112"/>
      <c r="E726" s="128"/>
      <c r="F726" s="129"/>
      <c r="G726" s="130"/>
      <c r="H726" s="131"/>
      <c r="I726" s="132"/>
      <c r="J726" s="108"/>
      <c r="K726" s="133"/>
      <c r="L726" s="134"/>
      <c r="M726" s="334"/>
      <c r="N726" s="343"/>
      <c r="O726" s="135"/>
      <c r="P726" s="82"/>
      <c r="Q726" s="135"/>
      <c r="R726" s="82"/>
      <c r="S726" s="299"/>
      <c r="T726" s="305"/>
      <c r="U726" s="298"/>
      <c r="V726" s="304"/>
      <c r="W726" s="249"/>
      <c r="X726" s="344"/>
      <c r="Y726" s="337"/>
      <c r="Z726" s="33"/>
      <c r="AA726" s="83"/>
      <c r="AB726" s="33"/>
      <c r="AC726" s="83"/>
      <c r="AD726" s="33"/>
      <c r="AE726" s="83"/>
      <c r="AF726" s="33"/>
      <c r="AG726" s="244"/>
      <c r="AH726" s="83"/>
      <c r="AI726" s="246"/>
      <c r="AJ726" s="102"/>
      <c r="AK726" s="92"/>
      <c r="AL726" s="91"/>
      <c r="AM726" s="92"/>
      <c r="AN726" s="351"/>
      <c r="AO726" s="197">
        <f t="shared" si="47"/>
        <v>0</v>
      </c>
      <c r="AP726" s="91"/>
      <c r="AQ726" s="217"/>
      <c r="AR726" s="103"/>
      <c r="AS726" s="264"/>
      <c r="AT726" s="94"/>
      <c r="AU726" s="84"/>
      <c r="AV726" s="136"/>
      <c r="AW726" s="77"/>
      <c r="AX726" s="137"/>
      <c r="AY726" s="138"/>
      <c r="AZ726" s="220">
        <f t="shared" si="44"/>
        <v>0</v>
      </c>
      <c r="BA726" s="220">
        <f t="shared" si="45"/>
        <v>0</v>
      </c>
    </row>
    <row r="727" spans="1:53" ht="50.1" customHeight="1" x14ac:dyDescent="0.25">
      <c r="A727" s="17">
        <f t="shared" si="46"/>
        <v>713</v>
      </c>
      <c r="B727" s="228"/>
      <c r="C727" s="221"/>
      <c r="D727" s="88"/>
      <c r="E727" s="100"/>
      <c r="F727" s="95"/>
      <c r="G727" s="114"/>
      <c r="H727" s="96"/>
      <c r="I727" s="97"/>
      <c r="J727" s="98"/>
      <c r="K727" s="101"/>
      <c r="L727" s="124"/>
      <c r="M727" s="333"/>
      <c r="N727" s="341"/>
      <c r="O727" s="82"/>
      <c r="P727" s="93"/>
      <c r="Q727" s="82"/>
      <c r="R727" s="93"/>
      <c r="S727" s="298"/>
      <c r="T727" s="304"/>
      <c r="U727" s="307"/>
      <c r="V727" s="309"/>
      <c r="W727" s="248"/>
      <c r="X727" s="342"/>
      <c r="Y727" s="336"/>
      <c r="Z727" s="123"/>
      <c r="AA727" s="33"/>
      <c r="AB727" s="123"/>
      <c r="AC727" s="33"/>
      <c r="AD727" s="123"/>
      <c r="AE727" s="33"/>
      <c r="AF727" s="123"/>
      <c r="AG727" s="243"/>
      <c r="AH727" s="33"/>
      <c r="AI727" s="245"/>
      <c r="AJ727" s="125"/>
      <c r="AK727" s="91"/>
      <c r="AL727" s="126"/>
      <c r="AM727" s="91"/>
      <c r="AN727" s="91"/>
      <c r="AO727" s="197">
        <f t="shared" si="47"/>
        <v>0</v>
      </c>
      <c r="AP727" s="126"/>
      <c r="AQ727" s="216"/>
      <c r="AR727" s="127"/>
      <c r="AS727" s="269"/>
      <c r="AT727" s="94"/>
      <c r="AU727" s="84"/>
      <c r="AV727" s="80"/>
      <c r="AW727" s="81"/>
      <c r="AX727" s="77"/>
      <c r="AY727" s="107"/>
      <c r="AZ727" s="220">
        <f t="shared" si="44"/>
        <v>0</v>
      </c>
      <c r="BA727" s="220">
        <f t="shared" si="45"/>
        <v>0</v>
      </c>
    </row>
    <row r="728" spans="1:53" ht="50.1" customHeight="1" x14ac:dyDescent="0.25">
      <c r="A728" s="17">
        <f t="shared" si="46"/>
        <v>714</v>
      </c>
      <c r="B728" s="229"/>
      <c r="C728" s="222"/>
      <c r="D728" s="112"/>
      <c r="E728" s="128"/>
      <c r="F728" s="129"/>
      <c r="G728" s="130"/>
      <c r="H728" s="131"/>
      <c r="I728" s="132"/>
      <c r="J728" s="108"/>
      <c r="K728" s="133"/>
      <c r="L728" s="134"/>
      <c r="M728" s="334"/>
      <c r="N728" s="343"/>
      <c r="O728" s="135"/>
      <c r="P728" s="82"/>
      <c r="Q728" s="135"/>
      <c r="R728" s="82"/>
      <c r="S728" s="299"/>
      <c r="T728" s="305"/>
      <c r="U728" s="298"/>
      <c r="V728" s="304"/>
      <c r="W728" s="249"/>
      <c r="X728" s="344"/>
      <c r="Y728" s="337"/>
      <c r="Z728" s="33"/>
      <c r="AA728" s="83"/>
      <c r="AB728" s="33"/>
      <c r="AC728" s="83"/>
      <c r="AD728" s="33"/>
      <c r="AE728" s="83"/>
      <c r="AF728" s="33"/>
      <c r="AG728" s="244"/>
      <c r="AH728" s="83"/>
      <c r="AI728" s="246"/>
      <c r="AJ728" s="102"/>
      <c r="AK728" s="92"/>
      <c r="AL728" s="91"/>
      <c r="AM728" s="92"/>
      <c r="AN728" s="351"/>
      <c r="AO728" s="197">
        <f t="shared" si="47"/>
        <v>0</v>
      </c>
      <c r="AP728" s="91"/>
      <c r="AQ728" s="217"/>
      <c r="AR728" s="103"/>
      <c r="AS728" s="264"/>
      <c r="AT728" s="94"/>
      <c r="AU728" s="84"/>
      <c r="AV728" s="136"/>
      <c r="AW728" s="77"/>
      <c r="AX728" s="137"/>
      <c r="AY728" s="138"/>
      <c r="AZ728" s="220">
        <f t="shared" si="44"/>
        <v>0</v>
      </c>
      <c r="BA728" s="220">
        <f t="shared" si="45"/>
        <v>0</v>
      </c>
    </row>
    <row r="729" spans="1:53" ht="50.1" customHeight="1" x14ac:dyDescent="0.25">
      <c r="A729" s="17">
        <f t="shared" si="46"/>
        <v>715</v>
      </c>
      <c r="B729" s="228"/>
      <c r="C729" s="221"/>
      <c r="D729" s="88"/>
      <c r="E729" s="100"/>
      <c r="F729" s="95"/>
      <c r="G729" s="114"/>
      <c r="H729" s="96"/>
      <c r="I729" s="97"/>
      <c r="J729" s="98"/>
      <c r="K729" s="101"/>
      <c r="L729" s="124"/>
      <c r="M729" s="333"/>
      <c r="N729" s="341"/>
      <c r="O729" s="82"/>
      <c r="P729" s="93"/>
      <c r="Q729" s="82"/>
      <c r="R729" s="93"/>
      <c r="S729" s="298"/>
      <c r="T729" s="304"/>
      <c r="U729" s="307"/>
      <c r="V729" s="309"/>
      <c r="W729" s="248"/>
      <c r="X729" s="342"/>
      <c r="Y729" s="336"/>
      <c r="Z729" s="123"/>
      <c r="AA729" s="33"/>
      <c r="AB729" s="123"/>
      <c r="AC729" s="33"/>
      <c r="AD729" s="123"/>
      <c r="AE729" s="33"/>
      <c r="AF729" s="123"/>
      <c r="AG729" s="243"/>
      <c r="AH729" s="33"/>
      <c r="AI729" s="245"/>
      <c r="AJ729" s="125"/>
      <c r="AK729" s="91"/>
      <c r="AL729" s="126"/>
      <c r="AM729" s="91"/>
      <c r="AN729" s="91"/>
      <c r="AO729" s="197">
        <f t="shared" si="47"/>
        <v>0</v>
      </c>
      <c r="AP729" s="126"/>
      <c r="AQ729" s="216"/>
      <c r="AR729" s="127"/>
      <c r="AS729" s="269"/>
      <c r="AT729" s="94"/>
      <c r="AU729" s="84"/>
      <c r="AV729" s="80"/>
      <c r="AW729" s="81"/>
      <c r="AX729" s="77"/>
      <c r="AY729" s="107"/>
      <c r="AZ729" s="220">
        <f t="shared" si="44"/>
        <v>0</v>
      </c>
      <c r="BA729" s="220">
        <f t="shared" si="45"/>
        <v>0</v>
      </c>
    </row>
    <row r="730" spans="1:53" ht="50.1" customHeight="1" x14ac:dyDescent="0.25">
      <c r="A730" s="17">
        <f t="shared" si="46"/>
        <v>716</v>
      </c>
      <c r="B730" s="229"/>
      <c r="C730" s="222"/>
      <c r="D730" s="112"/>
      <c r="E730" s="128"/>
      <c r="F730" s="129"/>
      <c r="G730" s="130"/>
      <c r="H730" s="131"/>
      <c r="I730" s="132"/>
      <c r="J730" s="108"/>
      <c r="K730" s="133"/>
      <c r="L730" s="134"/>
      <c r="M730" s="334"/>
      <c r="N730" s="343"/>
      <c r="O730" s="135"/>
      <c r="P730" s="82"/>
      <c r="Q730" s="135"/>
      <c r="R730" s="82"/>
      <c r="S730" s="299"/>
      <c r="T730" s="305"/>
      <c r="U730" s="298"/>
      <c r="V730" s="304"/>
      <c r="W730" s="249"/>
      <c r="X730" s="344"/>
      <c r="Y730" s="337"/>
      <c r="Z730" s="33"/>
      <c r="AA730" s="83"/>
      <c r="AB730" s="33"/>
      <c r="AC730" s="83"/>
      <c r="AD730" s="33"/>
      <c r="AE730" s="83"/>
      <c r="AF730" s="33"/>
      <c r="AG730" s="244"/>
      <c r="AH730" s="83"/>
      <c r="AI730" s="246"/>
      <c r="AJ730" s="102"/>
      <c r="AK730" s="92"/>
      <c r="AL730" s="91"/>
      <c r="AM730" s="92"/>
      <c r="AN730" s="351"/>
      <c r="AO730" s="197">
        <f t="shared" si="47"/>
        <v>0</v>
      </c>
      <c r="AP730" s="91"/>
      <c r="AQ730" s="217"/>
      <c r="AR730" s="103"/>
      <c r="AS730" s="264"/>
      <c r="AT730" s="94"/>
      <c r="AU730" s="84"/>
      <c r="AV730" s="136"/>
      <c r="AW730" s="77"/>
      <c r="AX730" s="137"/>
      <c r="AY730" s="138"/>
      <c r="AZ730" s="220">
        <f t="shared" si="44"/>
        <v>0</v>
      </c>
      <c r="BA730" s="220">
        <f t="shared" si="45"/>
        <v>0</v>
      </c>
    </row>
    <row r="731" spans="1:53" ht="50.1" customHeight="1" x14ac:dyDescent="0.25">
      <c r="A731" s="17">
        <f t="shared" si="46"/>
        <v>717</v>
      </c>
      <c r="B731" s="228"/>
      <c r="C731" s="221"/>
      <c r="D731" s="88"/>
      <c r="E731" s="100"/>
      <c r="F731" s="95"/>
      <c r="G731" s="114"/>
      <c r="H731" s="96"/>
      <c r="I731" s="97"/>
      <c r="J731" s="98"/>
      <c r="K731" s="101"/>
      <c r="L731" s="124"/>
      <c r="M731" s="333"/>
      <c r="N731" s="341"/>
      <c r="O731" s="82"/>
      <c r="P731" s="93"/>
      <c r="Q731" s="82"/>
      <c r="R731" s="93"/>
      <c r="S731" s="298"/>
      <c r="T731" s="304"/>
      <c r="U731" s="307"/>
      <c r="V731" s="309"/>
      <c r="W731" s="248"/>
      <c r="X731" s="342"/>
      <c r="Y731" s="336"/>
      <c r="Z731" s="123"/>
      <c r="AA731" s="33"/>
      <c r="AB731" s="123"/>
      <c r="AC731" s="33"/>
      <c r="AD731" s="123"/>
      <c r="AE731" s="33"/>
      <c r="AF731" s="123"/>
      <c r="AG731" s="243"/>
      <c r="AH731" s="33"/>
      <c r="AI731" s="245"/>
      <c r="AJ731" s="125"/>
      <c r="AK731" s="91"/>
      <c r="AL731" s="126"/>
      <c r="AM731" s="91"/>
      <c r="AN731" s="91"/>
      <c r="AO731" s="197">
        <f t="shared" si="47"/>
        <v>0</v>
      </c>
      <c r="AP731" s="126"/>
      <c r="AQ731" s="216"/>
      <c r="AR731" s="127"/>
      <c r="AS731" s="269"/>
      <c r="AT731" s="94"/>
      <c r="AU731" s="84"/>
      <c r="AV731" s="80"/>
      <c r="AW731" s="81"/>
      <c r="AX731" s="77"/>
      <c r="AY731" s="107"/>
      <c r="AZ731" s="220">
        <f t="shared" si="44"/>
        <v>0</v>
      </c>
      <c r="BA731" s="220">
        <f t="shared" si="45"/>
        <v>0</v>
      </c>
    </row>
    <row r="732" spans="1:53" ht="50.1" customHeight="1" x14ac:dyDescent="0.25">
      <c r="A732" s="17">
        <f t="shared" si="46"/>
        <v>718</v>
      </c>
      <c r="B732" s="229"/>
      <c r="C732" s="222"/>
      <c r="D732" s="112"/>
      <c r="E732" s="128"/>
      <c r="F732" s="129"/>
      <c r="G732" s="130"/>
      <c r="H732" s="131"/>
      <c r="I732" s="132"/>
      <c r="J732" s="108"/>
      <c r="K732" s="133"/>
      <c r="L732" s="134"/>
      <c r="M732" s="334"/>
      <c r="N732" s="343"/>
      <c r="O732" s="135"/>
      <c r="P732" s="82"/>
      <c r="Q732" s="135"/>
      <c r="R732" s="82"/>
      <c r="S732" s="299"/>
      <c r="T732" s="305"/>
      <c r="U732" s="298"/>
      <c r="V732" s="304"/>
      <c r="W732" s="249"/>
      <c r="X732" s="344"/>
      <c r="Y732" s="337"/>
      <c r="Z732" s="33"/>
      <c r="AA732" s="83"/>
      <c r="AB732" s="33"/>
      <c r="AC732" s="83"/>
      <c r="AD732" s="33"/>
      <c r="AE732" s="83"/>
      <c r="AF732" s="33"/>
      <c r="AG732" s="244"/>
      <c r="AH732" s="83"/>
      <c r="AI732" s="246"/>
      <c r="AJ732" s="102"/>
      <c r="AK732" s="92"/>
      <c r="AL732" s="91"/>
      <c r="AM732" s="92"/>
      <c r="AN732" s="351"/>
      <c r="AO732" s="197">
        <f t="shared" si="47"/>
        <v>0</v>
      </c>
      <c r="AP732" s="91"/>
      <c r="AQ732" s="217"/>
      <c r="AR732" s="103"/>
      <c r="AS732" s="264"/>
      <c r="AT732" s="94"/>
      <c r="AU732" s="84"/>
      <c r="AV732" s="136"/>
      <c r="AW732" s="77"/>
      <c r="AX732" s="137"/>
      <c r="AY732" s="138"/>
      <c r="AZ732" s="220">
        <f t="shared" si="44"/>
        <v>0</v>
      </c>
      <c r="BA732" s="220">
        <f t="shared" si="45"/>
        <v>0</v>
      </c>
    </row>
    <row r="733" spans="1:53" ht="50.1" customHeight="1" x14ac:dyDescent="0.25">
      <c r="A733" s="17">
        <f t="shared" si="46"/>
        <v>719</v>
      </c>
      <c r="B733" s="228"/>
      <c r="C733" s="221"/>
      <c r="D733" s="88"/>
      <c r="E733" s="100"/>
      <c r="F733" s="95"/>
      <c r="G733" s="114"/>
      <c r="H733" s="96"/>
      <c r="I733" s="97"/>
      <c r="J733" s="98"/>
      <c r="K733" s="101"/>
      <c r="L733" s="124"/>
      <c r="M733" s="333"/>
      <c r="N733" s="341"/>
      <c r="O733" s="82"/>
      <c r="P733" s="93"/>
      <c r="Q733" s="82"/>
      <c r="R733" s="93"/>
      <c r="S733" s="298"/>
      <c r="T733" s="304"/>
      <c r="U733" s="307"/>
      <c r="V733" s="309"/>
      <c r="W733" s="248"/>
      <c r="X733" s="342"/>
      <c r="Y733" s="336"/>
      <c r="Z733" s="123"/>
      <c r="AA733" s="33"/>
      <c r="AB733" s="123"/>
      <c r="AC733" s="33"/>
      <c r="AD733" s="123"/>
      <c r="AE733" s="33"/>
      <c r="AF733" s="123"/>
      <c r="AG733" s="243"/>
      <c r="AH733" s="33"/>
      <c r="AI733" s="245"/>
      <c r="AJ733" s="125"/>
      <c r="AK733" s="91"/>
      <c r="AL733" s="126"/>
      <c r="AM733" s="91"/>
      <c r="AN733" s="91"/>
      <c r="AO733" s="197">
        <f t="shared" si="47"/>
        <v>0</v>
      </c>
      <c r="AP733" s="126"/>
      <c r="AQ733" s="216"/>
      <c r="AR733" s="127"/>
      <c r="AS733" s="269"/>
      <c r="AT733" s="94"/>
      <c r="AU733" s="84"/>
      <c r="AV733" s="80"/>
      <c r="AW733" s="81"/>
      <c r="AX733" s="77"/>
      <c r="AY733" s="107"/>
      <c r="AZ733" s="220">
        <f t="shared" si="44"/>
        <v>0</v>
      </c>
      <c r="BA733" s="220">
        <f t="shared" si="45"/>
        <v>0</v>
      </c>
    </row>
    <row r="734" spans="1:53" ht="50.1" customHeight="1" x14ac:dyDescent="0.25">
      <c r="A734" s="17">
        <f t="shared" si="46"/>
        <v>720</v>
      </c>
      <c r="B734" s="229"/>
      <c r="C734" s="222"/>
      <c r="D734" s="112"/>
      <c r="E734" s="128"/>
      <c r="F734" s="129"/>
      <c r="G734" s="130"/>
      <c r="H734" s="131"/>
      <c r="I734" s="132"/>
      <c r="J734" s="108"/>
      <c r="K734" s="133"/>
      <c r="L734" s="134"/>
      <c r="M734" s="334"/>
      <c r="N734" s="343"/>
      <c r="O734" s="135"/>
      <c r="P734" s="82"/>
      <c r="Q734" s="135"/>
      <c r="R734" s="82"/>
      <c r="S734" s="299"/>
      <c r="T734" s="305"/>
      <c r="U734" s="298"/>
      <c r="V734" s="304"/>
      <c r="W734" s="249"/>
      <c r="X734" s="344"/>
      <c r="Y734" s="337"/>
      <c r="Z734" s="33"/>
      <c r="AA734" s="83"/>
      <c r="AB734" s="33"/>
      <c r="AC734" s="83"/>
      <c r="AD734" s="33"/>
      <c r="AE734" s="83"/>
      <c r="AF734" s="33"/>
      <c r="AG734" s="244"/>
      <c r="AH734" s="83"/>
      <c r="AI734" s="246"/>
      <c r="AJ734" s="102"/>
      <c r="AK734" s="92"/>
      <c r="AL734" s="91"/>
      <c r="AM734" s="92"/>
      <c r="AN734" s="351"/>
      <c r="AO734" s="197">
        <f t="shared" si="47"/>
        <v>0</v>
      </c>
      <c r="AP734" s="91"/>
      <c r="AQ734" s="217"/>
      <c r="AR734" s="103"/>
      <c r="AS734" s="264"/>
      <c r="AT734" s="94"/>
      <c r="AU734" s="84"/>
      <c r="AV734" s="136"/>
      <c r="AW734" s="77"/>
      <c r="AX734" s="137"/>
      <c r="AY734" s="138"/>
      <c r="AZ734" s="220">
        <f t="shared" si="44"/>
        <v>0</v>
      </c>
      <c r="BA734" s="220">
        <f t="shared" si="45"/>
        <v>0</v>
      </c>
    </row>
    <row r="735" spans="1:53" ht="50.1" customHeight="1" x14ac:dyDescent="0.25">
      <c r="A735" s="17">
        <f t="shared" si="46"/>
        <v>721</v>
      </c>
      <c r="B735" s="228"/>
      <c r="C735" s="221"/>
      <c r="D735" s="88"/>
      <c r="E735" s="100"/>
      <c r="F735" s="95"/>
      <c r="G735" s="114"/>
      <c r="H735" s="96"/>
      <c r="I735" s="97"/>
      <c r="J735" s="98"/>
      <c r="K735" s="101"/>
      <c r="L735" s="124"/>
      <c r="M735" s="333"/>
      <c r="N735" s="341"/>
      <c r="O735" s="82"/>
      <c r="P735" s="93"/>
      <c r="Q735" s="82"/>
      <c r="R735" s="93"/>
      <c r="S735" s="298"/>
      <c r="T735" s="304"/>
      <c r="U735" s="307"/>
      <c r="V735" s="309"/>
      <c r="W735" s="248"/>
      <c r="X735" s="342"/>
      <c r="Y735" s="336"/>
      <c r="Z735" s="123"/>
      <c r="AA735" s="33"/>
      <c r="AB735" s="123"/>
      <c r="AC735" s="33"/>
      <c r="AD735" s="123"/>
      <c r="AE735" s="33"/>
      <c r="AF735" s="123"/>
      <c r="AG735" s="243"/>
      <c r="AH735" s="33"/>
      <c r="AI735" s="245"/>
      <c r="AJ735" s="125"/>
      <c r="AK735" s="91"/>
      <c r="AL735" s="126"/>
      <c r="AM735" s="91"/>
      <c r="AN735" s="91"/>
      <c r="AO735" s="197">
        <f t="shared" si="47"/>
        <v>0</v>
      </c>
      <c r="AP735" s="126"/>
      <c r="AQ735" s="216"/>
      <c r="AR735" s="127"/>
      <c r="AS735" s="269"/>
      <c r="AT735" s="94"/>
      <c r="AU735" s="84"/>
      <c r="AV735" s="80"/>
      <c r="AW735" s="81"/>
      <c r="AX735" s="77"/>
      <c r="AY735" s="107"/>
      <c r="AZ735" s="220">
        <f t="shared" si="44"/>
        <v>0</v>
      </c>
      <c r="BA735" s="220">
        <f t="shared" si="45"/>
        <v>0</v>
      </c>
    </row>
    <row r="736" spans="1:53" ht="50.1" customHeight="1" x14ac:dyDescent="0.25">
      <c r="A736" s="17">
        <f t="shared" si="46"/>
        <v>722</v>
      </c>
      <c r="B736" s="229"/>
      <c r="C736" s="222"/>
      <c r="D736" s="112"/>
      <c r="E736" s="128"/>
      <c r="F736" s="129"/>
      <c r="G736" s="130"/>
      <c r="H736" s="131"/>
      <c r="I736" s="132"/>
      <c r="J736" s="108"/>
      <c r="K736" s="133"/>
      <c r="L736" s="134"/>
      <c r="M736" s="334"/>
      <c r="N736" s="343"/>
      <c r="O736" s="135"/>
      <c r="P736" s="82"/>
      <c r="Q736" s="135"/>
      <c r="R736" s="82"/>
      <c r="S736" s="299"/>
      <c r="T736" s="305"/>
      <c r="U736" s="298"/>
      <c r="V736" s="304"/>
      <c r="W736" s="249"/>
      <c r="X736" s="344"/>
      <c r="Y736" s="337"/>
      <c r="Z736" s="33"/>
      <c r="AA736" s="83"/>
      <c r="AB736" s="33"/>
      <c r="AC736" s="83"/>
      <c r="AD736" s="33"/>
      <c r="AE736" s="83"/>
      <c r="AF736" s="33"/>
      <c r="AG736" s="244"/>
      <c r="AH736" s="83"/>
      <c r="AI736" s="246"/>
      <c r="AJ736" s="102"/>
      <c r="AK736" s="92"/>
      <c r="AL736" s="91"/>
      <c r="AM736" s="92"/>
      <c r="AN736" s="351"/>
      <c r="AO736" s="197">
        <f t="shared" si="47"/>
        <v>0</v>
      </c>
      <c r="AP736" s="91"/>
      <c r="AQ736" s="217"/>
      <c r="AR736" s="103"/>
      <c r="AS736" s="264"/>
      <c r="AT736" s="94"/>
      <c r="AU736" s="84"/>
      <c r="AV736" s="136"/>
      <c r="AW736" s="77"/>
      <c r="AX736" s="137"/>
      <c r="AY736" s="138"/>
      <c r="AZ736" s="220">
        <f t="shared" si="44"/>
        <v>0</v>
      </c>
      <c r="BA736" s="220">
        <f t="shared" si="45"/>
        <v>0</v>
      </c>
    </row>
    <row r="737" spans="1:53" ht="50.1" customHeight="1" x14ac:dyDescent="0.25">
      <c r="A737" s="17">
        <f t="shared" si="46"/>
        <v>723</v>
      </c>
      <c r="B737" s="228"/>
      <c r="C737" s="221"/>
      <c r="D737" s="88"/>
      <c r="E737" s="100"/>
      <c r="F737" s="95"/>
      <c r="G737" s="114"/>
      <c r="H737" s="96"/>
      <c r="I737" s="97"/>
      <c r="J737" s="98"/>
      <c r="K737" s="101"/>
      <c r="L737" s="124"/>
      <c r="M737" s="333"/>
      <c r="N737" s="341"/>
      <c r="O737" s="82"/>
      <c r="P737" s="93"/>
      <c r="Q737" s="82"/>
      <c r="R737" s="93"/>
      <c r="S737" s="298"/>
      <c r="T737" s="304"/>
      <c r="U737" s="307"/>
      <c r="V737" s="309"/>
      <c r="W737" s="248"/>
      <c r="X737" s="342"/>
      <c r="Y737" s="336"/>
      <c r="Z737" s="123"/>
      <c r="AA737" s="33"/>
      <c r="AB737" s="123"/>
      <c r="AC737" s="33"/>
      <c r="AD737" s="123"/>
      <c r="AE737" s="33"/>
      <c r="AF737" s="123"/>
      <c r="AG737" s="243"/>
      <c r="AH737" s="33"/>
      <c r="AI737" s="245"/>
      <c r="AJ737" s="125"/>
      <c r="AK737" s="91"/>
      <c r="AL737" s="126"/>
      <c r="AM737" s="91"/>
      <c r="AN737" s="91"/>
      <c r="AO737" s="197">
        <f t="shared" si="47"/>
        <v>0</v>
      </c>
      <c r="AP737" s="126"/>
      <c r="AQ737" s="216"/>
      <c r="AR737" s="127"/>
      <c r="AS737" s="269"/>
      <c r="AT737" s="94"/>
      <c r="AU737" s="84"/>
      <c r="AV737" s="80"/>
      <c r="AW737" s="81"/>
      <c r="AX737" s="77"/>
      <c r="AY737" s="107"/>
      <c r="AZ737" s="220">
        <f t="shared" si="44"/>
        <v>0</v>
      </c>
      <c r="BA737" s="220">
        <f t="shared" si="45"/>
        <v>0</v>
      </c>
    </row>
    <row r="738" spans="1:53" ht="50.1" customHeight="1" x14ac:dyDescent="0.25">
      <c r="A738" s="17">
        <f t="shared" si="46"/>
        <v>724</v>
      </c>
      <c r="B738" s="229"/>
      <c r="C738" s="222"/>
      <c r="D738" s="112"/>
      <c r="E738" s="128"/>
      <c r="F738" s="129"/>
      <c r="G738" s="130"/>
      <c r="H738" s="131"/>
      <c r="I738" s="132"/>
      <c r="J738" s="108"/>
      <c r="K738" s="133"/>
      <c r="L738" s="134"/>
      <c r="M738" s="334"/>
      <c r="N738" s="343"/>
      <c r="O738" s="135"/>
      <c r="P738" s="82"/>
      <c r="Q738" s="135"/>
      <c r="R738" s="82"/>
      <c r="S738" s="299"/>
      <c r="T738" s="305"/>
      <c r="U738" s="298"/>
      <c r="V738" s="304"/>
      <c r="W738" s="249"/>
      <c r="X738" s="344"/>
      <c r="Y738" s="337"/>
      <c r="Z738" s="33"/>
      <c r="AA738" s="83"/>
      <c r="AB738" s="33"/>
      <c r="AC738" s="83"/>
      <c r="AD738" s="33"/>
      <c r="AE738" s="83"/>
      <c r="AF738" s="33"/>
      <c r="AG738" s="244"/>
      <c r="AH738" s="83"/>
      <c r="AI738" s="246"/>
      <c r="AJ738" s="102"/>
      <c r="AK738" s="92"/>
      <c r="AL738" s="91"/>
      <c r="AM738" s="92"/>
      <c r="AN738" s="351"/>
      <c r="AO738" s="197">
        <f t="shared" si="47"/>
        <v>0</v>
      </c>
      <c r="AP738" s="91"/>
      <c r="AQ738" s="217"/>
      <c r="AR738" s="103"/>
      <c r="AS738" s="264"/>
      <c r="AT738" s="94"/>
      <c r="AU738" s="84"/>
      <c r="AV738" s="136"/>
      <c r="AW738" s="77"/>
      <c r="AX738" s="137"/>
      <c r="AY738" s="138"/>
      <c r="AZ738" s="220">
        <f t="shared" si="44"/>
        <v>0</v>
      </c>
      <c r="BA738" s="220">
        <f t="shared" si="45"/>
        <v>0</v>
      </c>
    </row>
    <row r="739" spans="1:53" ht="50.1" customHeight="1" x14ac:dyDescent="0.25">
      <c r="A739" s="17">
        <f t="shared" si="46"/>
        <v>725</v>
      </c>
      <c r="B739" s="228"/>
      <c r="C739" s="221"/>
      <c r="D739" s="88"/>
      <c r="E739" s="100"/>
      <c r="F739" s="95"/>
      <c r="G739" s="114"/>
      <c r="H739" s="96"/>
      <c r="I739" s="97"/>
      <c r="J739" s="98"/>
      <c r="K739" s="101"/>
      <c r="L739" s="124"/>
      <c r="M739" s="333"/>
      <c r="N739" s="341"/>
      <c r="O739" s="82"/>
      <c r="P739" s="93"/>
      <c r="Q739" s="82"/>
      <c r="R739" s="93"/>
      <c r="S739" s="298"/>
      <c r="T739" s="304"/>
      <c r="U739" s="307"/>
      <c r="V739" s="309"/>
      <c r="W739" s="248"/>
      <c r="X739" s="342"/>
      <c r="Y739" s="336"/>
      <c r="Z739" s="123"/>
      <c r="AA739" s="33"/>
      <c r="AB739" s="123"/>
      <c r="AC739" s="33"/>
      <c r="AD739" s="123"/>
      <c r="AE739" s="33"/>
      <c r="AF739" s="123"/>
      <c r="AG739" s="243"/>
      <c r="AH739" s="33"/>
      <c r="AI739" s="245"/>
      <c r="AJ739" s="125"/>
      <c r="AK739" s="91"/>
      <c r="AL739" s="126"/>
      <c r="AM739" s="91"/>
      <c r="AN739" s="91"/>
      <c r="AO739" s="197">
        <f t="shared" si="47"/>
        <v>0</v>
      </c>
      <c r="AP739" s="126"/>
      <c r="AQ739" s="216"/>
      <c r="AR739" s="127"/>
      <c r="AS739" s="269"/>
      <c r="AT739" s="94"/>
      <c r="AU739" s="84"/>
      <c r="AV739" s="80"/>
      <c r="AW739" s="81"/>
      <c r="AX739" s="77"/>
      <c r="AY739" s="107"/>
      <c r="AZ739" s="220">
        <f t="shared" si="44"/>
        <v>0</v>
      </c>
      <c r="BA739" s="220">
        <f t="shared" si="45"/>
        <v>0</v>
      </c>
    </row>
    <row r="740" spans="1:53" ht="50.1" customHeight="1" x14ac:dyDescent="0.25">
      <c r="A740" s="17">
        <f t="shared" si="46"/>
        <v>726</v>
      </c>
      <c r="B740" s="229"/>
      <c r="C740" s="222"/>
      <c r="D740" s="112"/>
      <c r="E740" s="128"/>
      <c r="F740" s="129"/>
      <c r="G740" s="130"/>
      <c r="H740" s="131"/>
      <c r="I740" s="132"/>
      <c r="J740" s="108"/>
      <c r="K740" s="133"/>
      <c r="L740" s="134"/>
      <c r="M740" s="334"/>
      <c r="N740" s="343"/>
      <c r="O740" s="135"/>
      <c r="P740" s="82"/>
      <c r="Q740" s="135"/>
      <c r="R740" s="82"/>
      <c r="S740" s="299"/>
      <c r="T740" s="305"/>
      <c r="U740" s="298"/>
      <c r="V740" s="304"/>
      <c r="W740" s="249"/>
      <c r="X740" s="344"/>
      <c r="Y740" s="337"/>
      <c r="Z740" s="33"/>
      <c r="AA740" s="83"/>
      <c r="AB740" s="33"/>
      <c r="AC740" s="83"/>
      <c r="AD740" s="33"/>
      <c r="AE740" s="83"/>
      <c r="AF740" s="33"/>
      <c r="AG740" s="244"/>
      <c r="AH740" s="83"/>
      <c r="AI740" s="246"/>
      <c r="AJ740" s="102"/>
      <c r="AK740" s="92"/>
      <c r="AL740" s="91"/>
      <c r="AM740" s="92"/>
      <c r="AN740" s="351"/>
      <c r="AO740" s="197">
        <f t="shared" si="47"/>
        <v>0</v>
      </c>
      <c r="AP740" s="91"/>
      <c r="AQ740" s="217"/>
      <c r="AR740" s="103"/>
      <c r="AS740" s="264"/>
      <c r="AT740" s="94"/>
      <c r="AU740" s="84"/>
      <c r="AV740" s="136"/>
      <c r="AW740" s="77"/>
      <c r="AX740" s="137"/>
      <c r="AY740" s="138"/>
      <c r="AZ740" s="220">
        <f t="shared" si="44"/>
        <v>0</v>
      </c>
      <c r="BA740" s="220">
        <f t="shared" si="45"/>
        <v>0</v>
      </c>
    </row>
    <row r="741" spans="1:53" ht="50.1" customHeight="1" x14ac:dyDescent="0.25">
      <c r="A741" s="17">
        <f t="shared" si="46"/>
        <v>727</v>
      </c>
      <c r="B741" s="228"/>
      <c r="C741" s="221"/>
      <c r="D741" s="88"/>
      <c r="E741" s="100"/>
      <c r="F741" s="95"/>
      <c r="G741" s="114"/>
      <c r="H741" s="96"/>
      <c r="I741" s="97"/>
      <c r="J741" s="98"/>
      <c r="K741" s="101"/>
      <c r="L741" s="124"/>
      <c r="M741" s="333"/>
      <c r="N741" s="341"/>
      <c r="O741" s="82"/>
      <c r="P741" s="93"/>
      <c r="Q741" s="82"/>
      <c r="R741" s="93"/>
      <c r="S741" s="298"/>
      <c r="T741" s="304"/>
      <c r="U741" s="307"/>
      <c r="V741" s="309"/>
      <c r="W741" s="248"/>
      <c r="X741" s="342"/>
      <c r="Y741" s="336"/>
      <c r="Z741" s="123"/>
      <c r="AA741" s="33"/>
      <c r="AB741" s="123"/>
      <c r="AC741" s="33"/>
      <c r="AD741" s="123"/>
      <c r="AE741" s="33"/>
      <c r="AF741" s="123"/>
      <c r="AG741" s="243"/>
      <c r="AH741" s="33"/>
      <c r="AI741" s="245"/>
      <c r="AJ741" s="125"/>
      <c r="AK741" s="91"/>
      <c r="AL741" s="126"/>
      <c r="AM741" s="91"/>
      <c r="AN741" s="91"/>
      <c r="AO741" s="197">
        <f t="shared" si="47"/>
        <v>0</v>
      </c>
      <c r="AP741" s="126"/>
      <c r="AQ741" s="216"/>
      <c r="AR741" s="127"/>
      <c r="AS741" s="269"/>
      <c r="AT741" s="94"/>
      <c r="AU741" s="84"/>
      <c r="AV741" s="80"/>
      <c r="AW741" s="81"/>
      <c r="AX741" s="77"/>
      <c r="AY741" s="107"/>
      <c r="AZ741" s="220">
        <f t="shared" si="44"/>
        <v>0</v>
      </c>
      <c r="BA741" s="220">
        <f t="shared" si="45"/>
        <v>0</v>
      </c>
    </row>
    <row r="742" spans="1:53" ht="50.1" customHeight="1" x14ac:dyDescent="0.25">
      <c r="A742" s="17">
        <f t="shared" si="46"/>
        <v>728</v>
      </c>
      <c r="B742" s="229"/>
      <c r="C742" s="222"/>
      <c r="D742" s="112"/>
      <c r="E742" s="128"/>
      <c r="F742" s="129"/>
      <c r="G742" s="130"/>
      <c r="H742" s="131"/>
      <c r="I742" s="132"/>
      <c r="J742" s="108"/>
      <c r="K742" s="133"/>
      <c r="L742" s="134"/>
      <c r="M742" s="334"/>
      <c r="N742" s="343"/>
      <c r="O742" s="135"/>
      <c r="P742" s="82"/>
      <c r="Q742" s="135"/>
      <c r="R742" s="82"/>
      <c r="S742" s="299"/>
      <c r="T742" s="305"/>
      <c r="U742" s="298"/>
      <c r="V742" s="304"/>
      <c r="W742" s="249"/>
      <c r="X742" s="344"/>
      <c r="Y742" s="337"/>
      <c r="Z742" s="33"/>
      <c r="AA742" s="83"/>
      <c r="AB742" s="33"/>
      <c r="AC742" s="83"/>
      <c r="AD742" s="33"/>
      <c r="AE742" s="83"/>
      <c r="AF742" s="33"/>
      <c r="AG742" s="244"/>
      <c r="AH742" s="83"/>
      <c r="AI742" s="246"/>
      <c r="AJ742" s="102"/>
      <c r="AK742" s="92"/>
      <c r="AL742" s="91"/>
      <c r="AM742" s="92"/>
      <c r="AN742" s="351"/>
      <c r="AO742" s="197">
        <f t="shared" si="47"/>
        <v>0</v>
      </c>
      <c r="AP742" s="91"/>
      <c r="AQ742" s="217"/>
      <c r="AR742" s="103"/>
      <c r="AS742" s="264"/>
      <c r="AT742" s="94"/>
      <c r="AU742" s="84"/>
      <c r="AV742" s="136"/>
      <c r="AW742" s="77"/>
      <c r="AX742" s="137"/>
      <c r="AY742" s="138"/>
      <c r="AZ742" s="220">
        <f t="shared" si="44"/>
        <v>0</v>
      </c>
      <c r="BA742" s="220">
        <f t="shared" si="45"/>
        <v>0</v>
      </c>
    </row>
    <row r="743" spans="1:53" ht="50.1" customHeight="1" x14ac:dyDescent="0.25">
      <c r="A743" s="17">
        <f t="shared" si="46"/>
        <v>729</v>
      </c>
      <c r="B743" s="228"/>
      <c r="C743" s="221"/>
      <c r="D743" s="88"/>
      <c r="E743" s="100"/>
      <c r="F743" s="95"/>
      <c r="G743" s="114"/>
      <c r="H743" s="96"/>
      <c r="I743" s="97"/>
      <c r="J743" s="98"/>
      <c r="K743" s="101"/>
      <c r="L743" s="124"/>
      <c r="M743" s="333"/>
      <c r="N743" s="341"/>
      <c r="O743" s="82"/>
      <c r="P743" s="93"/>
      <c r="Q743" s="82"/>
      <c r="R743" s="93"/>
      <c r="S743" s="298"/>
      <c r="T743" s="304"/>
      <c r="U743" s="307"/>
      <c r="V743" s="309"/>
      <c r="W743" s="248"/>
      <c r="X743" s="342"/>
      <c r="Y743" s="336"/>
      <c r="Z743" s="123"/>
      <c r="AA743" s="33"/>
      <c r="AB743" s="123"/>
      <c r="AC743" s="33"/>
      <c r="AD743" s="123"/>
      <c r="AE743" s="33"/>
      <c r="AF743" s="123"/>
      <c r="AG743" s="243"/>
      <c r="AH743" s="33"/>
      <c r="AI743" s="245"/>
      <c r="AJ743" s="125"/>
      <c r="AK743" s="91"/>
      <c r="AL743" s="126"/>
      <c r="AM743" s="91"/>
      <c r="AN743" s="91"/>
      <c r="AO743" s="197">
        <f t="shared" si="47"/>
        <v>0</v>
      </c>
      <c r="AP743" s="126"/>
      <c r="AQ743" s="216"/>
      <c r="AR743" s="127"/>
      <c r="AS743" s="269"/>
      <c r="AT743" s="94"/>
      <c r="AU743" s="84"/>
      <c r="AV743" s="80"/>
      <c r="AW743" s="81"/>
      <c r="AX743" s="77"/>
      <c r="AY743" s="107"/>
      <c r="AZ743" s="220">
        <f t="shared" si="44"/>
        <v>0</v>
      </c>
      <c r="BA743" s="220">
        <f t="shared" si="45"/>
        <v>0</v>
      </c>
    </row>
    <row r="744" spans="1:53" ht="50.1" customHeight="1" x14ac:dyDescent="0.25">
      <c r="A744" s="17">
        <f t="shared" si="46"/>
        <v>730</v>
      </c>
      <c r="B744" s="229"/>
      <c r="C744" s="222"/>
      <c r="D744" s="112"/>
      <c r="E744" s="128"/>
      <c r="F744" s="129"/>
      <c r="G744" s="130"/>
      <c r="H744" s="131"/>
      <c r="I744" s="132"/>
      <c r="J744" s="108"/>
      <c r="K744" s="133"/>
      <c r="L744" s="134"/>
      <c r="M744" s="334"/>
      <c r="N744" s="343"/>
      <c r="O744" s="135"/>
      <c r="P744" s="82"/>
      <c r="Q744" s="135"/>
      <c r="R744" s="82"/>
      <c r="S744" s="299"/>
      <c r="T744" s="305"/>
      <c r="U744" s="298"/>
      <c r="V744" s="304"/>
      <c r="W744" s="249"/>
      <c r="X744" s="344"/>
      <c r="Y744" s="337"/>
      <c r="Z744" s="33"/>
      <c r="AA744" s="83"/>
      <c r="AB744" s="33"/>
      <c r="AC744" s="83"/>
      <c r="AD744" s="33"/>
      <c r="AE744" s="83"/>
      <c r="AF744" s="33"/>
      <c r="AG744" s="244"/>
      <c r="AH744" s="83"/>
      <c r="AI744" s="246"/>
      <c r="AJ744" s="102"/>
      <c r="AK744" s="92"/>
      <c r="AL744" s="91"/>
      <c r="AM744" s="92"/>
      <c r="AN744" s="351"/>
      <c r="AO744" s="197">
        <f t="shared" si="47"/>
        <v>0</v>
      </c>
      <c r="AP744" s="91"/>
      <c r="AQ744" s="217"/>
      <c r="AR744" s="103"/>
      <c r="AS744" s="264"/>
      <c r="AT744" s="94"/>
      <c r="AU744" s="84"/>
      <c r="AV744" s="136"/>
      <c r="AW744" s="77"/>
      <c r="AX744" s="137"/>
      <c r="AY744" s="138"/>
      <c r="AZ744" s="220">
        <f t="shared" si="44"/>
        <v>0</v>
      </c>
      <c r="BA744" s="220">
        <f t="shared" si="45"/>
        <v>0</v>
      </c>
    </row>
    <row r="745" spans="1:53" ht="50.1" customHeight="1" x14ac:dyDescent="0.25">
      <c r="A745" s="17">
        <f t="shared" si="46"/>
        <v>731</v>
      </c>
      <c r="B745" s="228"/>
      <c r="C745" s="221"/>
      <c r="D745" s="88"/>
      <c r="E745" s="100"/>
      <c r="F745" s="95"/>
      <c r="G745" s="114"/>
      <c r="H745" s="96"/>
      <c r="I745" s="97"/>
      <c r="J745" s="98"/>
      <c r="K745" s="101"/>
      <c r="L745" s="124"/>
      <c r="M745" s="333"/>
      <c r="N745" s="341"/>
      <c r="O745" s="82"/>
      <c r="P745" s="93"/>
      <c r="Q745" s="82"/>
      <c r="R745" s="93"/>
      <c r="S745" s="298"/>
      <c r="T745" s="304"/>
      <c r="U745" s="307"/>
      <c r="V745" s="309"/>
      <c r="W745" s="248"/>
      <c r="X745" s="342"/>
      <c r="Y745" s="336"/>
      <c r="Z745" s="123"/>
      <c r="AA745" s="33"/>
      <c r="AB745" s="123"/>
      <c r="AC745" s="33"/>
      <c r="AD745" s="123"/>
      <c r="AE745" s="33"/>
      <c r="AF745" s="123"/>
      <c r="AG745" s="243"/>
      <c r="AH745" s="33"/>
      <c r="AI745" s="245"/>
      <c r="AJ745" s="125"/>
      <c r="AK745" s="91"/>
      <c r="AL745" s="126"/>
      <c r="AM745" s="91"/>
      <c r="AN745" s="91"/>
      <c r="AO745" s="197">
        <f t="shared" si="47"/>
        <v>0</v>
      </c>
      <c r="AP745" s="126"/>
      <c r="AQ745" s="216"/>
      <c r="AR745" s="127"/>
      <c r="AS745" s="269"/>
      <c r="AT745" s="94"/>
      <c r="AU745" s="84"/>
      <c r="AV745" s="80"/>
      <c r="AW745" s="81"/>
      <c r="AX745" s="77"/>
      <c r="AY745" s="107"/>
      <c r="AZ745" s="220">
        <f t="shared" si="44"/>
        <v>0</v>
      </c>
      <c r="BA745" s="220">
        <f t="shared" si="45"/>
        <v>0</v>
      </c>
    </row>
    <row r="746" spans="1:53" ht="50.1" customHeight="1" x14ac:dyDescent="0.25">
      <c r="A746" s="17">
        <f t="shared" si="46"/>
        <v>732</v>
      </c>
      <c r="B746" s="229"/>
      <c r="C746" s="222"/>
      <c r="D746" s="112"/>
      <c r="E746" s="128"/>
      <c r="F746" s="129"/>
      <c r="G746" s="130"/>
      <c r="H746" s="131"/>
      <c r="I746" s="132"/>
      <c r="J746" s="108"/>
      <c r="K746" s="133"/>
      <c r="L746" s="134"/>
      <c r="M746" s="334"/>
      <c r="N746" s="343"/>
      <c r="O746" s="135"/>
      <c r="P746" s="82"/>
      <c r="Q746" s="135"/>
      <c r="R746" s="82"/>
      <c r="S746" s="299"/>
      <c r="T746" s="305"/>
      <c r="U746" s="298"/>
      <c r="V746" s="304"/>
      <c r="W746" s="249"/>
      <c r="X746" s="344"/>
      <c r="Y746" s="337"/>
      <c r="Z746" s="33"/>
      <c r="AA746" s="83"/>
      <c r="AB746" s="33"/>
      <c r="AC746" s="83"/>
      <c r="AD746" s="33"/>
      <c r="AE746" s="83"/>
      <c r="AF746" s="33"/>
      <c r="AG746" s="244"/>
      <c r="AH746" s="83"/>
      <c r="AI746" s="246"/>
      <c r="AJ746" s="102"/>
      <c r="AK746" s="92"/>
      <c r="AL746" s="91"/>
      <c r="AM746" s="92"/>
      <c r="AN746" s="351"/>
      <c r="AO746" s="197">
        <f t="shared" si="47"/>
        <v>0</v>
      </c>
      <c r="AP746" s="91"/>
      <c r="AQ746" s="217"/>
      <c r="AR746" s="103"/>
      <c r="AS746" s="264"/>
      <c r="AT746" s="94"/>
      <c r="AU746" s="84"/>
      <c r="AV746" s="136"/>
      <c r="AW746" s="77"/>
      <c r="AX746" s="137"/>
      <c r="AY746" s="138"/>
      <c r="AZ746" s="220">
        <f t="shared" si="44"/>
        <v>0</v>
      </c>
      <c r="BA746" s="220">
        <f t="shared" si="45"/>
        <v>0</v>
      </c>
    </row>
    <row r="747" spans="1:53" ht="50.1" customHeight="1" x14ac:dyDescent="0.25">
      <c r="A747" s="17">
        <f t="shared" si="46"/>
        <v>733</v>
      </c>
      <c r="B747" s="228"/>
      <c r="C747" s="221"/>
      <c r="D747" s="88"/>
      <c r="E747" s="100"/>
      <c r="F747" s="95"/>
      <c r="G747" s="114"/>
      <c r="H747" s="96"/>
      <c r="I747" s="97"/>
      <c r="J747" s="98"/>
      <c r="K747" s="101"/>
      <c r="L747" s="124"/>
      <c r="M747" s="333"/>
      <c r="N747" s="341"/>
      <c r="O747" s="82"/>
      <c r="P747" s="93"/>
      <c r="Q747" s="82"/>
      <c r="R747" s="93"/>
      <c r="S747" s="298"/>
      <c r="T747" s="304"/>
      <c r="U747" s="307"/>
      <c r="V747" s="309"/>
      <c r="W747" s="248"/>
      <c r="X747" s="342"/>
      <c r="Y747" s="336"/>
      <c r="Z747" s="123"/>
      <c r="AA747" s="33"/>
      <c r="AB747" s="123"/>
      <c r="AC747" s="33"/>
      <c r="AD747" s="123"/>
      <c r="AE747" s="33"/>
      <c r="AF747" s="123"/>
      <c r="AG747" s="243"/>
      <c r="AH747" s="33"/>
      <c r="AI747" s="245"/>
      <c r="AJ747" s="125"/>
      <c r="AK747" s="91"/>
      <c r="AL747" s="126"/>
      <c r="AM747" s="91"/>
      <c r="AN747" s="91"/>
      <c r="AO747" s="197">
        <f t="shared" si="47"/>
        <v>0</v>
      </c>
      <c r="AP747" s="126"/>
      <c r="AQ747" s="216"/>
      <c r="AR747" s="127"/>
      <c r="AS747" s="269"/>
      <c r="AT747" s="94"/>
      <c r="AU747" s="84"/>
      <c r="AV747" s="80"/>
      <c r="AW747" s="81"/>
      <c r="AX747" s="77"/>
      <c r="AY747" s="107"/>
      <c r="AZ747" s="220">
        <f t="shared" si="44"/>
        <v>0</v>
      </c>
      <c r="BA747" s="220">
        <f t="shared" si="45"/>
        <v>0</v>
      </c>
    </row>
    <row r="748" spans="1:53" ht="50.1" customHeight="1" x14ac:dyDescent="0.25">
      <c r="A748" s="17">
        <f t="shared" si="46"/>
        <v>734</v>
      </c>
      <c r="B748" s="229"/>
      <c r="C748" s="222"/>
      <c r="D748" s="112"/>
      <c r="E748" s="128"/>
      <c r="F748" s="129"/>
      <c r="G748" s="130"/>
      <c r="H748" s="131"/>
      <c r="I748" s="132"/>
      <c r="J748" s="108"/>
      <c r="K748" s="133"/>
      <c r="L748" s="134"/>
      <c r="M748" s="334"/>
      <c r="N748" s="343"/>
      <c r="O748" s="135"/>
      <c r="P748" s="82"/>
      <c r="Q748" s="135"/>
      <c r="R748" s="82"/>
      <c r="S748" s="299"/>
      <c r="T748" s="305"/>
      <c r="U748" s="298"/>
      <c r="V748" s="304"/>
      <c r="W748" s="249"/>
      <c r="X748" s="344"/>
      <c r="Y748" s="337"/>
      <c r="Z748" s="33"/>
      <c r="AA748" s="83"/>
      <c r="AB748" s="33"/>
      <c r="AC748" s="83"/>
      <c r="AD748" s="33"/>
      <c r="AE748" s="83"/>
      <c r="AF748" s="33"/>
      <c r="AG748" s="244"/>
      <c r="AH748" s="83"/>
      <c r="AI748" s="246"/>
      <c r="AJ748" s="102"/>
      <c r="AK748" s="92"/>
      <c r="AL748" s="91"/>
      <c r="AM748" s="92"/>
      <c r="AN748" s="351"/>
      <c r="AO748" s="197">
        <f t="shared" si="47"/>
        <v>0</v>
      </c>
      <c r="AP748" s="91"/>
      <c r="AQ748" s="217"/>
      <c r="AR748" s="103"/>
      <c r="AS748" s="264"/>
      <c r="AT748" s="94"/>
      <c r="AU748" s="84"/>
      <c r="AV748" s="136"/>
      <c r="AW748" s="77"/>
      <c r="AX748" s="137"/>
      <c r="AY748" s="138"/>
      <c r="AZ748" s="220">
        <f t="shared" si="44"/>
        <v>0</v>
      </c>
      <c r="BA748" s="220">
        <f t="shared" si="45"/>
        <v>0</v>
      </c>
    </row>
    <row r="749" spans="1:53" ht="50.1" customHeight="1" x14ac:dyDescent="0.25">
      <c r="A749" s="17">
        <f t="shared" si="46"/>
        <v>735</v>
      </c>
      <c r="B749" s="228"/>
      <c r="C749" s="221"/>
      <c r="D749" s="88"/>
      <c r="E749" s="100"/>
      <c r="F749" s="95"/>
      <c r="G749" s="114"/>
      <c r="H749" s="96"/>
      <c r="I749" s="97"/>
      <c r="J749" s="98"/>
      <c r="K749" s="101"/>
      <c r="L749" s="124"/>
      <c r="M749" s="333"/>
      <c r="N749" s="341"/>
      <c r="O749" s="82"/>
      <c r="P749" s="93"/>
      <c r="Q749" s="82"/>
      <c r="R749" s="93"/>
      <c r="S749" s="298"/>
      <c r="T749" s="304"/>
      <c r="U749" s="307"/>
      <c r="V749" s="309"/>
      <c r="W749" s="248"/>
      <c r="X749" s="342"/>
      <c r="Y749" s="336"/>
      <c r="Z749" s="123"/>
      <c r="AA749" s="33"/>
      <c r="AB749" s="123"/>
      <c r="AC749" s="33"/>
      <c r="AD749" s="123"/>
      <c r="AE749" s="33"/>
      <c r="AF749" s="123"/>
      <c r="AG749" s="243"/>
      <c r="AH749" s="33"/>
      <c r="AI749" s="245"/>
      <c r="AJ749" s="125"/>
      <c r="AK749" s="91"/>
      <c r="AL749" s="126"/>
      <c r="AM749" s="91"/>
      <c r="AN749" s="91"/>
      <c r="AO749" s="197">
        <f t="shared" si="47"/>
        <v>0</v>
      </c>
      <c r="AP749" s="126"/>
      <c r="AQ749" s="216"/>
      <c r="AR749" s="127"/>
      <c r="AS749" s="269"/>
      <c r="AT749" s="94"/>
      <c r="AU749" s="84"/>
      <c r="AV749" s="80"/>
      <c r="AW749" s="81"/>
      <c r="AX749" s="77"/>
      <c r="AY749" s="107"/>
      <c r="AZ749" s="220">
        <f t="shared" si="44"/>
        <v>0</v>
      </c>
      <c r="BA749" s="220">
        <f t="shared" si="45"/>
        <v>0</v>
      </c>
    </row>
    <row r="750" spans="1:53" ht="50.1" customHeight="1" x14ac:dyDescent="0.25">
      <c r="A750" s="17">
        <f t="shared" si="46"/>
        <v>736</v>
      </c>
      <c r="B750" s="229"/>
      <c r="C750" s="222"/>
      <c r="D750" s="112"/>
      <c r="E750" s="128"/>
      <c r="F750" s="129"/>
      <c r="G750" s="130"/>
      <c r="H750" s="131"/>
      <c r="I750" s="132"/>
      <c r="J750" s="108"/>
      <c r="K750" s="133"/>
      <c r="L750" s="134"/>
      <c r="M750" s="334"/>
      <c r="N750" s="343"/>
      <c r="O750" s="135"/>
      <c r="P750" s="82"/>
      <c r="Q750" s="135"/>
      <c r="R750" s="82"/>
      <c r="S750" s="299"/>
      <c r="T750" s="305"/>
      <c r="U750" s="298"/>
      <c r="V750" s="304"/>
      <c r="W750" s="249"/>
      <c r="X750" s="344"/>
      <c r="Y750" s="337"/>
      <c r="Z750" s="33"/>
      <c r="AA750" s="83"/>
      <c r="AB750" s="33"/>
      <c r="AC750" s="83"/>
      <c r="AD750" s="33"/>
      <c r="AE750" s="83"/>
      <c r="AF750" s="33"/>
      <c r="AG750" s="244"/>
      <c r="AH750" s="83"/>
      <c r="AI750" s="246"/>
      <c r="AJ750" s="102"/>
      <c r="AK750" s="92"/>
      <c r="AL750" s="91"/>
      <c r="AM750" s="92"/>
      <c r="AN750" s="351"/>
      <c r="AO750" s="197">
        <f t="shared" si="47"/>
        <v>0</v>
      </c>
      <c r="AP750" s="91"/>
      <c r="AQ750" s="217"/>
      <c r="AR750" s="103"/>
      <c r="AS750" s="264"/>
      <c r="AT750" s="94"/>
      <c r="AU750" s="84"/>
      <c r="AV750" s="136"/>
      <c r="AW750" s="77"/>
      <c r="AX750" s="137"/>
      <c r="AY750" s="138"/>
      <c r="AZ750" s="220">
        <f t="shared" si="44"/>
        <v>0</v>
      </c>
      <c r="BA750" s="220">
        <f t="shared" si="45"/>
        <v>0</v>
      </c>
    </row>
    <row r="751" spans="1:53" ht="50.1" customHeight="1" x14ac:dyDescent="0.25">
      <c r="A751" s="17">
        <f t="shared" si="46"/>
        <v>737</v>
      </c>
      <c r="B751" s="228"/>
      <c r="C751" s="221"/>
      <c r="D751" s="88"/>
      <c r="E751" s="100"/>
      <c r="F751" s="95"/>
      <c r="G751" s="114"/>
      <c r="H751" s="96"/>
      <c r="I751" s="97"/>
      <c r="J751" s="98"/>
      <c r="K751" s="101"/>
      <c r="L751" s="124"/>
      <c r="M751" s="333"/>
      <c r="N751" s="341"/>
      <c r="O751" s="82"/>
      <c r="P751" s="93"/>
      <c r="Q751" s="82"/>
      <c r="R751" s="93"/>
      <c r="S751" s="298"/>
      <c r="T751" s="304"/>
      <c r="U751" s="307"/>
      <c r="V751" s="309"/>
      <c r="W751" s="248"/>
      <c r="X751" s="342"/>
      <c r="Y751" s="336"/>
      <c r="Z751" s="123"/>
      <c r="AA751" s="33"/>
      <c r="AB751" s="123"/>
      <c r="AC751" s="33"/>
      <c r="AD751" s="123"/>
      <c r="AE751" s="33"/>
      <c r="AF751" s="123"/>
      <c r="AG751" s="243"/>
      <c r="AH751" s="33"/>
      <c r="AI751" s="245"/>
      <c r="AJ751" s="125"/>
      <c r="AK751" s="91"/>
      <c r="AL751" s="126"/>
      <c r="AM751" s="91"/>
      <c r="AN751" s="91"/>
      <c r="AO751" s="197">
        <f t="shared" si="47"/>
        <v>0</v>
      </c>
      <c r="AP751" s="126"/>
      <c r="AQ751" s="216"/>
      <c r="AR751" s="127"/>
      <c r="AS751" s="269"/>
      <c r="AT751" s="94"/>
      <c r="AU751" s="84"/>
      <c r="AV751" s="80"/>
      <c r="AW751" s="81"/>
      <c r="AX751" s="77"/>
      <c r="AY751" s="107"/>
      <c r="AZ751" s="220">
        <f t="shared" si="44"/>
        <v>0</v>
      </c>
      <c r="BA751" s="220">
        <f t="shared" si="45"/>
        <v>0</v>
      </c>
    </row>
    <row r="752" spans="1:53" ht="50.1" customHeight="1" x14ac:dyDescent="0.25">
      <c r="A752" s="17">
        <f t="shared" si="46"/>
        <v>738</v>
      </c>
      <c r="B752" s="229"/>
      <c r="C752" s="222"/>
      <c r="D752" s="112"/>
      <c r="E752" s="128"/>
      <c r="F752" s="129"/>
      <c r="G752" s="130"/>
      <c r="H752" s="131"/>
      <c r="I752" s="132"/>
      <c r="J752" s="108"/>
      <c r="K752" s="133"/>
      <c r="L752" s="134"/>
      <c r="M752" s="334"/>
      <c r="N752" s="343"/>
      <c r="O752" s="135"/>
      <c r="P752" s="82"/>
      <c r="Q752" s="135"/>
      <c r="R752" s="82"/>
      <c r="S752" s="299"/>
      <c r="T752" s="305"/>
      <c r="U752" s="298"/>
      <c r="V752" s="304"/>
      <c r="W752" s="249"/>
      <c r="X752" s="344"/>
      <c r="Y752" s="337"/>
      <c r="Z752" s="33"/>
      <c r="AA752" s="83"/>
      <c r="AB752" s="33"/>
      <c r="AC752" s="83"/>
      <c r="AD752" s="33"/>
      <c r="AE752" s="83"/>
      <c r="AF752" s="33"/>
      <c r="AG752" s="244"/>
      <c r="AH752" s="83"/>
      <c r="AI752" s="246"/>
      <c r="AJ752" s="102"/>
      <c r="AK752" s="92"/>
      <c r="AL752" s="91"/>
      <c r="AM752" s="92"/>
      <c r="AN752" s="351"/>
      <c r="AO752" s="197">
        <f t="shared" si="47"/>
        <v>0</v>
      </c>
      <c r="AP752" s="91"/>
      <c r="AQ752" s="217"/>
      <c r="AR752" s="103"/>
      <c r="AS752" s="264"/>
      <c r="AT752" s="94"/>
      <c r="AU752" s="84"/>
      <c r="AV752" s="136"/>
      <c r="AW752" s="77"/>
      <c r="AX752" s="137"/>
      <c r="AY752" s="138"/>
      <c r="AZ752" s="220">
        <f t="shared" si="44"/>
        <v>0</v>
      </c>
      <c r="BA752" s="220">
        <f t="shared" si="45"/>
        <v>0</v>
      </c>
    </row>
    <row r="753" spans="1:53" ht="50.1" customHeight="1" x14ac:dyDescent="0.25">
      <c r="A753" s="17">
        <f t="shared" si="46"/>
        <v>739</v>
      </c>
      <c r="B753" s="228"/>
      <c r="C753" s="221"/>
      <c r="D753" s="88"/>
      <c r="E753" s="100"/>
      <c r="F753" s="95"/>
      <c r="G753" s="114"/>
      <c r="H753" s="96"/>
      <c r="I753" s="97"/>
      <c r="J753" s="98"/>
      <c r="K753" s="101"/>
      <c r="L753" s="124"/>
      <c r="M753" s="333"/>
      <c r="N753" s="341"/>
      <c r="O753" s="82"/>
      <c r="P753" s="93"/>
      <c r="Q753" s="82"/>
      <c r="R753" s="93"/>
      <c r="S753" s="298"/>
      <c r="T753" s="304"/>
      <c r="U753" s="307"/>
      <c r="V753" s="309"/>
      <c r="W753" s="248"/>
      <c r="X753" s="342"/>
      <c r="Y753" s="336"/>
      <c r="Z753" s="123"/>
      <c r="AA753" s="33"/>
      <c r="AB753" s="123"/>
      <c r="AC753" s="33"/>
      <c r="AD753" s="123"/>
      <c r="AE753" s="33"/>
      <c r="AF753" s="123"/>
      <c r="AG753" s="243"/>
      <c r="AH753" s="33"/>
      <c r="AI753" s="245"/>
      <c r="AJ753" s="125"/>
      <c r="AK753" s="91"/>
      <c r="AL753" s="126"/>
      <c r="AM753" s="91"/>
      <c r="AN753" s="91"/>
      <c r="AO753" s="197">
        <f t="shared" si="47"/>
        <v>0</v>
      </c>
      <c r="AP753" s="126"/>
      <c r="AQ753" s="216"/>
      <c r="AR753" s="127"/>
      <c r="AS753" s="269"/>
      <c r="AT753" s="94"/>
      <c r="AU753" s="84"/>
      <c r="AV753" s="80"/>
      <c r="AW753" s="81"/>
      <c r="AX753" s="77"/>
      <c r="AY753" s="107"/>
      <c r="AZ753" s="220">
        <f t="shared" si="44"/>
        <v>0</v>
      </c>
      <c r="BA753" s="220">
        <f t="shared" si="45"/>
        <v>0</v>
      </c>
    </row>
    <row r="754" spans="1:53" ht="50.1" customHeight="1" x14ac:dyDescent="0.25">
      <c r="A754" s="17">
        <f t="shared" si="46"/>
        <v>740</v>
      </c>
      <c r="B754" s="229"/>
      <c r="C754" s="222"/>
      <c r="D754" s="112"/>
      <c r="E754" s="128"/>
      <c r="F754" s="129"/>
      <c r="G754" s="130"/>
      <c r="H754" s="131"/>
      <c r="I754" s="132"/>
      <c r="J754" s="108"/>
      <c r="K754" s="133"/>
      <c r="L754" s="134"/>
      <c r="M754" s="334"/>
      <c r="N754" s="343"/>
      <c r="O754" s="135"/>
      <c r="P754" s="82"/>
      <c r="Q754" s="135"/>
      <c r="R754" s="82"/>
      <c r="S754" s="299"/>
      <c r="T754" s="305"/>
      <c r="U754" s="298"/>
      <c r="V754" s="304"/>
      <c r="W754" s="249"/>
      <c r="X754" s="344"/>
      <c r="Y754" s="337"/>
      <c r="Z754" s="33"/>
      <c r="AA754" s="83"/>
      <c r="AB754" s="33"/>
      <c r="AC754" s="83"/>
      <c r="AD754" s="33"/>
      <c r="AE754" s="83"/>
      <c r="AF754" s="33"/>
      <c r="AG754" s="244"/>
      <c r="AH754" s="83"/>
      <c r="AI754" s="246"/>
      <c r="AJ754" s="102"/>
      <c r="AK754" s="92"/>
      <c r="AL754" s="91"/>
      <c r="AM754" s="92"/>
      <c r="AN754" s="351"/>
      <c r="AO754" s="197">
        <f t="shared" si="47"/>
        <v>0</v>
      </c>
      <c r="AP754" s="91"/>
      <c r="AQ754" s="217"/>
      <c r="AR754" s="103"/>
      <c r="AS754" s="264"/>
      <c r="AT754" s="94"/>
      <c r="AU754" s="84"/>
      <c r="AV754" s="136"/>
      <c r="AW754" s="77"/>
      <c r="AX754" s="137"/>
      <c r="AY754" s="138"/>
      <c r="AZ754" s="220">
        <f t="shared" si="44"/>
        <v>0</v>
      </c>
      <c r="BA754" s="220">
        <f t="shared" si="45"/>
        <v>0</v>
      </c>
    </row>
    <row r="755" spans="1:53" ht="50.1" customHeight="1" x14ac:dyDescent="0.25">
      <c r="A755" s="17">
        <f t="shared" si="46"/>
        <v>741</v>
      </c>
      <c r="B755" s="228"/>
      <c r="C755" s="221"/>
      <c r="D755" s="88"/>
      <c r="E755" s="100"/>
      <c r="F755" s="95"/>
      <c r="G755" s="114"/>
      <c r="H755" s="96"/>
      <c r="I755" s="97"/>
      <c r="J755" s="98"/>
      <c r="K755" s="101"/>
      <c r="L755" s="124"/>
      <c r="M755" s="333"/>
      <c r="N755" s="341"/>
      <c r="O755" s="82"/>
      <c r="P755" s="93"/>
      <c r="Q755" s="82"/>
      <c r="R755" s="93"/>
      <c r="S755" s="298"/>
      <c r="T755" s="304"/>
      <c r="U755" s="307"/>
      <c r="V755" s="309"/>
      <c r="W755" s="248"/>
      <c r="X755" s="342"/>
      <c r="Y755" s="336"/>
      <c r="Z755" s="123"/>
      <c r="AA755" s="33"/>
      <c r="AB755" s="123"/>
      <c r="AC755" s="33"/>
      <c r="AD755" s="123"/>
      <c r="AE755" s="33"/>
      <c r="AF755" s="123"/>
      <c r="AG755" s="243"/>
      <c r="AH755" s="33"/>
      <c r="AI755" s="245"/>
      <c r="AJ755" s="125"/>
      <c r="AK755" s="91"/>
      <c r="AL755" s="126"/>
      <c r="AM755" s="91"/>
      <c r="AN755" s="91"/>
      <c r="AO755" s="197">
        <f t="shared" si="47"/>
        <v>0</v>
      </c>
      <c r="AP755" s="126"/>
      <c r="AQ755" s="216"/>
      <c r="AR755" s="127"/>
      <c r="AS755" s="269"/>
      <c r="AT755" s="94"/>
      <c r="AU755" s="84"/>
      <c r="AV755" s="80"/>
      <c r="AW755" s="81"/>
      <c r="AX755" s="77"/>
      <c r="AY755" s="107"/>
      <c r="AZ755" s="220">
        <f t="shared" si="44"/>
        <v>0</v>
      </c>
      <c r="BA755" s="220">
        <f t="shared" si="45"/>
        <v>0</v>
      </c>
    </row>
    <row r="756" spans="1:53" ht="50.1" customHeight="1" x14ac:dyDescent="0.25">
      <c r="A756" s="17">
        <f t="shared" si="46"/>
        <v>742</v>
      </c>
      <c r="B756" s="229"/>
      <c r="C756" s="222"/>
      <c r="D756" s="112"/>
      <c r="E756" s="128"/>
      <c r="F756" s="129"/>
      <c r="G756" s="130"/>
      <c r="H756" s="131"/>
      <c r="I756" s="132"/>
      <c r="J756" s="108"/>
      <c r="K756" s="133"/>
      <c r="L756" s="134"/>
      <c r="M756" s="334"/>
      <c r="N756" s="343"/>
      <c r="O756" s="135"/>
      <c r="P756" s="82"/>
      <c r="Q756" s="135"/>
      <c r="R756" s="82"/>
      <c r="S756" s="299"/>
      <c r="T756" s="305"/>
      <c r="U756" s="298"/>
      <c r="V756" s="304"/>
      <c r="W756" s="249"/>
      <c r="X756" s="344"/>
      <c r="Y756" s="337"/>
      <c r="Z756" s="33"/>
      <c r="AA756" s="83"/>
      <c r="AB756" s="33"/>
      <c r="AC756" s="83"/>
      <c r="AD756" s="33"/>
      <c r="AE756" s="83"/>
      <c r="AF756" s="33"/>
      <c r="AG756" s="244"/>
      <c r="AH756" s="83"/>
      <c r="AI756" s="246"/>
      <c r="AJ756" s="102"/>
      <c r="AK756" s="92"/>
      <c r="AL756" s="91"/>
      <c r="AM756" s="92"/>
      <c r="AN756" s="351"/>
      <c r="AO756" s="197">
        <f t="shared" si="47"/>
        <v>0</v>
      </c>
      <c r="AP756" s="91"/>
      <c r="AQ756" s="217"/>
      <c r="AR756" s="103"/>
      <c r="AS756" s="264"/>
      <c r="AT756" s="94"/>
      <c r="AU756" s="84"/>
      <c r="AV756" s="136"/>
      <c r="AW756" s="77"/>
      <c r="AX756" s="137"/>
      <c r="AY756" s="138"/>
      <c r="AZ756" s="220">
        <f t="shared" si="44"/>
        <v>0</v>
      </c>
      <c r="BA756" s="220">
        <f t="shared" si="45"/>
        <v>0</v>
      </c>
    </row>
    <row r="757" spans="1:53" ht="50.1" customHeight="1" x14ac:dyDescent="0.25">
      <c r="A757" s="17">
        <f t="shared" si="46"/>
        <v>743</v>
      </c>
      <c r="B757" s="228"/>
      <c r="C757" s="221"/>
      <c r="D757" s="88"/>
      <c r="E757" s="100"/>
      <c r="F757" s="95"/>
      <c r="G757" s="114"/>
      <c r="H757" s="96"/>
      <c r="I757" s="97"/>
      <c r="J757" s="98"/>
      <c r="K757" s="101"/>
      <c r="L757" s="124"/>
      <c r="M757" s="333"/>
      <c r="N757" s="341"/>
      <c r="O757" s="82"/>
      <c r="P757" s="93"/>
      <c r="Q757" s="82"/>
      <c r="R757" s="93"/>
      <c r="S757" s="298"/>
      <c r="T757" s="304"/>
      <c r="U757" s="307"/>
      <c r="V757" s="309"/>
      <c r="W757" s="248"/>
      <c r="X757" s="342"/>
      <c r="Y757" s="336"/>
      <c r="Z757" s="123"/>
      <c r="AA757" s="33"/>
      <c r="AB757" s="123"/>
      <c r="AC757" s="33"/>
      <c r="AD757" s="123"/>
      <c r="AE757" s="33"/>
      <c r="AF757" s="123"/>
      <c r="AG757" s="243"/>
      <c r="AH757" s="33"/>
      <c r="AI757" s="245"/>
      <c r="AJ757" s="125"/>
      <c r="AK757" s="91"/>
      <c r="AL757" s="126"/>
      <c r="AM757" s="91"/>
      <c r="AN757" s="91"/>
      <c r="AO757" s="197">
        <f t="shared" si="47"/>
        <v>0</v>
      </c>
      <c r="AP757" s="126"/>
      <c r="AQ757" s="216"/>
      <c r="AR757" s="127"/>
      <c r="AS757" s="269"/>
      <c r="AT757" s="94"/>
      <c r="AU757" s="84"/>
      <c r="AV757" s="80"/>
      <c r="AW757" s="81"/>
      <c r="AX757" s="77"/>
      <c r="AY757" s="107"/>
      <c r="AZ757" s="220">
        <f t="shared" si="44"/>
        <v>0</v>
      </c>
      <c r="BA757" s="220">
        <f t="shared" si="45"/>
        <v>0</v>
      </c>
    </row>
    <row r="758" spans="1:53" ht="50.1" customHeight="1" x14ac:dyDescent="0.25">
      <c r="A758" s="17">
        <f t="shared" si="46"/>
        <v>744</v>
      </c>
      <c r="B758" s="229"/>
      <c r="C758" s="222"/>
      <c r="D758" s="112"/>
      <c r="E758" s="128"/>
      <c r="F758" s="129"/>
      <c r="G758" s="130"/>
      <c r="H758" s="131"/>
      <c r="I758" s="132"/>
      <c r="J758" s="108"/>
      <c r="K758" s="133"/>
      <c r="L758" s="134"/>
      <c r="M758" s="334"/>
      <c r="N758" s="343"/>
      <c r="O758" s="135"/>
      <c r="P758" s="82"/>
      <c r="Q758" s="135"/>
      <c r="R758" s="82"/>
      <c r="S758" s="299"/>
      <c r="T758" s="305"/>
      <c r="U758" s="298"/>
      <c r="V758" s="304"/>
      <c r="W758" s="249"/>
      <c r="X758" s="344"/>
      <c r="Y758" s="337"/>
      <c r="Z758" s="33"/>
      <c r="AA758" s="83"/>
      <c r="AB758" s="33"/>
      <c r="AC758" s="83"/>
      <c r="AD758" s="33"/>
      <c r="AE758" s="83"/>
      <c r="AF758" s="33"/>
      <c r="AG758" s="244"/>
      <c r="AH758" s="83"/>
      <c r="AI758" s="246"/>
      <c r="AJ758" s="102"/>
      <c r="AK758" s="92"/>
      <c r="AL758" s="91"/>
      <c r="AM758" s="92"/>
      <c r="AN758" s="351"/>
      <c r="AO758" s="197">
        <f t="shared" si="47"/>
        <v>0</v>
      </c>
      <c r="AP758" s="91"/>
      <c r="AQ758" s="217"/>
      <c r="AR758" s="103"/>
      <c r="AS758" s="264"/>
      <c r="AT758" s="94"/>
      <c r="AU758" s="84"/>
      <c r="AV758" s="136"/>
      <c r="AW758" s="77"/>
      <c r="AX758" s="137"/>
      <c r="AY758" s="138"/>
      <c r="AZ758" s="220">
        <f t="shared" si="44"/>
        <v>0</v>
      </c>
      <c r="BA758" s="220">
        <f t="shared" si="45"/>
        <v>0</v>
      </c>
    </row>
    <row r="759" spans="1:53" ht="50.1" customHeight="1" x14ac:dyDescent="0.25">
      <c r="A759" s="17">
        <f t="shared" si="46"/>
        <v>745</v>
      </c>
      <c r="B759" s="228"/>
      <c r="C759" s="221"/>
      <c r="D759" s="88"/>
      <c r="E759" s="100"/>
      <c r="F759" s="95"/>
      <c r="G759" s="114"/>
      <c r="H759" s="96"/>
      <c r="I759" s="97"/>
      <c r="J759" s="98"/>
      <c r="K759" s="101"/>
      <c r="L759" s="124"/>
      <c r="M759" s="333"/>
      <c r="N759" s="341"/>
      <c r="O759" s="82"/>
      <c r="P759" s="93"/>
      <c r="Q759" s="82"/>
      <c r="R759" s="93"/>
      <c r="S759" s="298"/>
      <c r="T759" s="304"/>
      <c r="U759" s="307"/>
      <c r="V759" s="309"/>
      <c r="W759" s="248"/>
      <c r="X759" s="342"/>
      <c r="Y759" s="336"/>
      <c r="Z759" s="123"/>
      <c r="AA759" s="33"/>
      <c r="AB759" s="123"/>
      <c r="AC759" s="33"/>
      <c r="AD759" s="123"/>
      <c r="AE759" s="33"/>
      <c r="AF759" s="123"/>
      <c r="AG759" s="243"/>
      <c r="AH759" s="33"/>
      <c r="AI759" s="245"/>
      <c r="AJ759" s="125"/>
      <c r="AK759" s="91"/>
      <c r="AL759" s="126"/>
      <c r="AM759" s="91"/>
      <c r="AN759" s="91"/>
      <c r="AO759" s="197">
        <f t="shared" si="47"/>
        <v>0</v>
      </c>
      <c r="AP759" s="126"/>
      <c r="AQ759" s="216"/>
      <c r="AR759" s="127"/>
      <c r="AS759" s="269"/>
      <c r="AT759" s="94"/>
      <c r="AU759" s="84"/>
      <c r="AV759" s="80"/>
      <c r="AW759" s="81"/>
      <c r="AX759" s="77"/>
      <c r="AY759" s="107"/>
      <c r="AZ759" s="220">
        <f t="shared" si="44"/>
        <v>0</v>
      </c>
      <c r="BA759" s="220">
        <f t="shared" si="45"/>
        <v>0</v>
      </c>
    </row>
    <row r="760" spans="1:53" ht="50.1" customHeight="1" x14ac:dyDescent="0.25">
      <c r="A760" s="17">
        <f t="shared" si="46"/>
        <v>746</v>
      </c>
      <c r="B760" s="229"/>
      <c r="C760" s="222"/>
      <c r="D760" s="112"/>
      <c r="E760" s="128"/>
      <c r="F760" s="129"/>
      <c r="G760" s="130"/>
      <c r="H760" s="131"/>
      <c r="I760" s="132"/>
      <c r="J760" s="108"/>
      <c r="K760" s="133"/>
      <c r="L760" s="134"/>
      <c r="M760" s="334"/>
      <c r="N760" s="343"/>
      <c r="O760" s="135"/>
      <c r="P760" s="82"/>
      <c r="Q760" s="135"/>
      <c r="R760" s="82"/>
      <c r="S760" s="299"/>
      <c r="T760" s="305"/>
      <c r="U760" s="298"/>
      <c r="V760" s="304"/>
      <c r="W760" s="249"/>
      <c r="X760" s="344"/>
      <c r="Y760" s="337"/>
      <c r="Z760" s="33"/>
      <c r="AA760" s="83"/>
      <c r="AB760" s="33"/>
      <c r="AC760" s="83"/>
      <c r="AD760" s="33"/>
      <c r="AE760" s="83"/>
      <c r="AF760" s="33"/>
      <c r="AG760" s="244"/>
      <c r="AH760" s="83"/>
      <c r="AI760" s="246"/>
      <c r="AJ760" s="102"/>
      <c r="AK760" s="92"/>
      <c r="AL760" s="91"/>
      <c r="AM760" s="92"/>
      <c r="AN760" s="351"/>
      <c r="AO760" s="197">
        <f t="shared" si="47"/>
        <v>0</v>
      </c>
      <c r="AP760" s="91"/>
      <c r="AQ760" s="217"/>
      <c r="AR760" s="103"/>
      <c r="AS760" s="264"/>
      <c r="AT760" s="94"/>
      <c r="AU760" s="84"/>
      <c r="AV760" s="136"/>
      <c r="AW760" s="77"/>
      <c r="AX760" s="137"/>
      <c r="AY760" s="138"/>
      <c r="AZ760" s="220">
        <f t="shared" si="44"/>
        <v>0</v>
      </c>
      <c r="BA760" s="220">
        <f t="shared" si="45"/>
        <v>0</v>
      </c>
    </row>
    <row r="761" spans="1:53" ht="50.1" customHeight="1" x14ac:dyDescent="0.25">
      <c r="A761" s="17">
        <f t="shared" si="46"/>
        <v>747</v>
      </c>
      <c r="B761" s="228"/>
      <c r="C761" s="221"/>
      <c r="D761" s="88"/>
      <c r="E761" s="100"/>
      <c r="F761" s="95"/>
      <c r="G761" s="114"/>
      <c r="H761" s="96"/>
      <c r="I761" s="97"/>
      <c r="J761" s="98"/>
      <c r="K761" s="101"/>
      <c r="L761" s="124"/>
      <c r="M761" s="333"/>
      <c r="N761" s="341"/>
      <c r="O761" s="82"/>
      <c r="P761" s="93"/>
      <c r="Q761" s="82"/>
      <c r="R761" s="93"/>
      <c r="S761" s="298"/>
      <c r="T761" s="304"/>
      <c r="U761" s="307"/>
      <c r="V761" s="309"/>
      <c r="W761" s="248"/>
      <c r="X761" s="342"/>
      <c r="Y761" s="336"/>
      <c r="Z761" s="123"/>
      <c r="AA761" s="33"/>
      <c r="AB761" s="123"/>
      <c r="AC761" s="33"/>
      <c r="AD761" s="123"/>
      <c r="AE761" s="33"/>
      <c r="AF761" s="123"/>
      <c r="AG761" s="243"/>
      <c r="AH761" s="33"/>
      <c r="AI761" s="245"/>
      <c r="AJ761" s="125"/>
      <c r="AK761" s="91"/>
      <c r="AL761" s="126"/>
      <c r="AM761" s="91"/>
      <c r="AN761" s="91"/>
      <c r="AO761" s="197">
        <f t="shared" si="47"/>
        <v>0</v>
      </c>
      <c r="AP761" s="126"/>
      <c r="AQ761" s="216"/>
      <c r="AR761" s="127"/>
      <c r="AS761" s="269"/>
      <c r="AT761" s="94"/>
      <c r="AU761" s="84"/>
      <c r="AV761" s="80"/>
      <c r="AW761" s="81"/>
      <c r="AX761" s="77"/>
      <c r="AY761" s="107"/>
      <c r="AZ761" s="220">
        <f t="shared" si="44"/>
        <v>0</v>
      </c>
      <c r="BA761" s="220">
        <f t="shared" si="45"/>
        <v>0</v>
      </c>
    </row>
    <row r="762" spans="1:53" ht="50.1" customHeight="1" x14ac:dyDescent="0.25">
      <c r="A762" s="17">
        <f t="shared" si="46"/>
        <v>748</v>
      </c>
      <c r="B762" s="229"/>
      <c r="C762" s="222"/>
      <c r="D762" s="112"/>
      <c r="E762" s="128"/>
      <c r="F762" s="129"/>
      <c r="G762" s="130"/>
      <c r="H762" s="131"/>
      <c r="I762" s="132"/>
      <c r="J762" s="108"/>
      <c r="K762" s="133"/>
      <c r="L762" s="134"/>
      <c r="M762" s="334"/>
      <c r="N762" s="343"/>
      <c r="O762" s="135"/>
      <c r="P762" s="82"/>
      <c r="Q762" s="135"/>
      <c r="R762" s="82"/>
      <c r="S762" s="299"/>
      <c r="T762" s="305"/>
      <c r="U762" s="298"/>
      <c r="V762" s="304"/>
      <c r="W762" s="249"/>
      <c r="X762" s="344"/>
      <c r="Y762" s="337"/>
      <c r="Z762" s="33"/>
      <c r="AA762" s="83"/>
      <c r="AB762" s="33"/>
      <c r="AC762" s="83"/>
      <c r="AD762" s="33"/>
      <c r="AE762" s="83"/>
      <c r="AF762" s="33"/>
      <c r="AG762" s="244"/>
      <c r="AH762" s="83"/>
      <c r="AI762" s="246"/>
      <c r="AJ762" s="102"/>
      <c r="AK762" s="92"/>
      <c r="AL762" s="91"/>
      <c r="AM762" s="92"/>
      <c r="AN762" s="351"/>
      <c r="AO762" s="197">
        <f t="shared" si="47"/>
        <v>0</v>
      </c>
      <c r="AP762" s="91"/>
      <c r="AQ762" s="217"/>
      <c r="AR762" s="103"/>
      <c r="AS762" s="264"/>
      <c r="AT762" s="94"/>
      <c r="AU762" s="84"/>
      <c r="AV762" s="136"/>
      <c r="AW762" s="77"/>
      <c r="AX762" s="137"/>
      <c r="AY762" s="138"/>
      <c r="AZ762" s="220">
        <f t="shared" si="44"/>
        <v>0</v>
      </c>
      <c r="BA762" s="220">
        <f t="shared" si="45"/>
        <v>0</v>
      </c>
    </row>
    <row r="763" spans="1:53" ht="50.1" customHeight="1" x14ac:dyDescent="0.25">
      <c r="A763" s="17">
        <f t="shared" si="46"/>
        <v>749</v>
      </c>
      <c r="B763" s="228"/>
      <c r="C763" s="221"/>
      <c r="D763" s="88"/>
      <c r="E763" s="100"/>
      <c r="F763" s="95"/>
      <c r="G763" s="114"/>
      <c r="H763" s="96"/>
      <c r="I763" s="97"/>
      <c r="J763" s="98"/>
      <c r="K763" s="101"/>
      <c r="L763" s="124"/>
      <c r="M763" s="333"/>
      <c r="N763" s="341"/>
      <c r="O763" s="82"/>
      <c r="P763" s="93"/>
      <c r="Q763" s="82"/>
      <c r="R763" s="93"/>
      <c r="S763" s="298"/>
      <c r="T763" s="304"/>
      <c r="U763" s="307"/>
      <c r="V763" s="309"/>
      <c r="W763" s="248"/>
      <c r="X763" s="342"/>
      <c r="Y763" s="336"/>
      <c r="Z763" s="123"/>
      <c r="AA763" s="33"/>
      <c r="AB763" s="123"/>
      <c r="AC763" s="33"/>
      <c r="AD763" s="123"/>
      <c r="AE763" s="33"/>
      <c r="AF763" s="123"/>
      <c r="AG763" s="243"/>
      <c r="AH763" s="33"/>
      <c r="AI763" s="245"/>
      <c r="AJ763" s="125"/>
      <c r="AK763" s="91"/>
      <c r="AL763" s="126"/>
      <c r="AM763" s="91"/>
      <c r="AN763" s="91"/>
      <c r="AO763" s="197">
        <f t="shared" si="47"/>
        <v>0</v>
      </c>
      <c r="AP763" s="126"/>
      <c r="AQ763" s="216"/>
      <c r="AR763" s="127"/>
      <c r="AS763" s="269"/>
      <c r="AT763" s="94"/>
      <c r="AU763" s="84"/>
      <c r="AV763" s="80"/>
      <c r="AW763" s="81"/>
      <c r="AX763" s="77"/>
      <c r="AY763" s="107"/>
      <c r="AZ763" s="220">
        <f t="shared" si="44"/>
        <v>0</v>
      </c>
      <c r="BA763" s="220">
        <f t="shared" si="45"/>
        <v>0</v>
      </c>
    </row>
    <row r="764" spans="1:53" ht="50.1" customHeight="1" x14ac:dyDescent="0.25">
      <c r="A764" s="17">
        <f t="shared" si="46"/>
        <v>750</v>
      </c>
      <c r="B764" s="229"/>
      <c r="C764" s="222"/>
      <c r="D764" s="112"/>
      <c r="E764" s="128"/>
      <c r="F764" s="129"/>
      <c r="G764" s="130"/>
      <c r="H764" s="131"/>
      <c r="I764" s="132"/>
      <c r="J764" s="108"/>
      <c r="K764" s="133"/>
      <c r="L764" s="134"/>
      <c r="M764" s="334"/>
      <c r="N764" s="343"/>
      <c r="O764" s="135"/>
      <c r="P764" s="82"/>
      <c r="Q764" s="135"/>
      <c r="R764" s="82"/>
      <c r="S764" s="299"/>
      <c r="T764" s="305"/>
      <c r="U764" s="298"/>
      <c r="V764" s="304"/>
      <c r="W764" s="249"/>
      <c r="X764" s="344"/>
      <c r="Y764" s="337"/>
      <c r="Z764" s="33"/>
      <c r="AA764" s="83"/>
      <c r="AB764" s="33"/>
      <c r="AC764" s="83"/>
      <c r="AD764" s="33"/>
      <c r="AE764" s="83"/>
      <c r="AF764" s="33"/>
      <c r="AG764" s="244"/>
      <c r="AH764" s="83"/>
      <c r="AI764" s="246"/>
      <c r="AJ764" s="102"/>
      <c r="AK764" s="92"/>
      <c r="AL764" s="91"/>
      <c r="AM764" s="92"/>
      <c r="AN764" s="351"/>
      <c r="AO764" s="197">
        <f t="shared" si="47"/>
        <v>0</v>
      </c>
      <c r="AP764" s="91"/>
      <c r="AQ764" s="217"/>
      <c r="AR764" s="103"/>
      <c r="AS764" s="264"/>
      <c r="AT764" s="94"/>
      <c r="AU764" s="84"/>
      <c r="AV764" s="136"/>
      <c r="AW764" s="77"/>
      <c r="AX764" s="137"/>
      <c r="AY764" s="138"/>
      <c r="AZ764" s="220">
        <f t="shared" si="44"/>
        <v>0</v>
      </c>
      <c r="BA764" s="220">
        <f t="shared" si="45"/>
        <v>0</v>
      </c>
    </row>
    <row r="765" spans="1:53" ht="50.1" customHeight="1" x14ac:dyDescent="0.25">
      <c r="A765" s="17">
        <f t="shared" si="46"/>
        <v>751</v>
      </c>
      <c r="B765" s="228"/>
      <c r="C765" s="221"/>
      <c r="D765" s="88"/>
      <c r="E765" s="100"/>
      <c r="F765" s="95"/>
      <c r="G765" s="114"/>
      <c r="H765" s="96"/>
      <c r="I765" s="97"/>
      <c r="J765" s="98"/>
      <c r="K765" s="101"/>
      <c r="L765" s="124"/>
      <c r="M765" s="333"/>
      <c r="N765" s="341"/>
      <c r="O765" s="82"/>
      <c r="P765" s="93"/>
      <c r="Q765" s="82"/>
      <c r="R765" s="93"/>
      <c r="S765" s="298"/>
      <c r="T765" s="304"/>
      <c r="U765" s="307"/>
      <c r="V765" s="309"/>
      <c r="W765" s="248"/>
      <c r="X765" s="342"/>
      <c r="Y765" s="336"/>
      <c r="Z765" s="123"/>
      <c r="AA765" s="33"/>
      <c r="AB765" s="123"/>
      <c r="AC765" s="33"/>
      <c r="AD765" s="123"/>
      <c r="AE765" s="33"/>
      <c r="AF765" s="123"/>
      <c r="AG765" s="243"/>
      <c r="AH765" s="33"/>
      <c r="AI765" s="245"/>
      <c r="AJ765" s="125"/>
      <c r="AK765" s="91"/>
      <c r="AL765" s="126"/>
      <c r="AM765" s="91"/>
      <c r="AN765" s="91"/>
      <c r="AO765" s="197">
        <f t="shared" si="47"/>
        <v>0</v>
      </c>
      <c r="AP765" s="126"/>
      <c r="AQ765" s="216"/>
      <c r="AR765" s="127"/>
      <c r="AS765" s="269"/>
      <c r="AT765" s="94"/>
      <c r="AU765" s="84"/>
      <c r="AV765" s="80"/>
      <c r="AW765" s="81"/>
      <c r="AX765" s="77"/>
      <c r="AY765" s="107"/>
      <c r="AZ765" s="220">
        <f t="shared" si="44"/>
        <v>0</v>
      </c>
      <c r="BA765" s="220">
        <f t="shared" si="45"/>
        <v>0</v>
      </c>
    </row>
    <row r="766" spans="1:53" ht="50.1" customHeight="1" x14ac:dyDescent="0.25">
      <c r="A766" s="17">
        <f t="shared" si="46"/>
        <v>752</v>
      </c>
      <c r="B766" s="229"/>
      <c r="C766" s="222"/>
      <c r="D766" s="112"/>
      <c r="E766" s="128"/>
      <c r="F766" s="129"/>
      <c r="G766" s="130"/>
      <c r="H766" s="131"/>
      <c r="I766" s="132"/>
      <c r="J766" s="108"/>
      <c r="K766" s="133"/>
      <c r="L766" s="134"/>
      <c r="M766" s="334"/>
      <c r="N766" s="343"/>
      <c r="O766" s="135"/>
      <c r="P766" s="82"/>
      <c r="Q766" s="135"/>
      <c r="R766" s="82"/>
      <c r="S766" s="299"/>
      <c r="T766" s="305"/>
      <c r="U766" s="298"/>
      <c r="V766" s="304"/>
      <c r="W766" s="249"/>
      <c r="X766" s="344"/>
      <c r="Y766" s="337"/>
      <c r="Z766" s="33"/>
      <c r="AA766" s="83"/>
      <c r="AB766" s="33"/>
      <c r="AC766" s="83"/>
      <c r="AD766" s="33"/>
      <c r="AE766" s="83"/>
      <c r="AF766" s="33"/>
      <c r="AG766" s="244"/>
      <c r="AH766" s="83"/>
      <c r="AI766" s="246"/>
      <c r="AJ766" s="102"/>
      <c r="AK766" s="92"/>
      <c r="AL766" s="91"/>
      <c r="AM766" s="92"/>
      <c r="AN766" s="351"/>
      <c r="AO766" s="197">
        <f t="shared" si="47"/>
        <v>0</v>
      </c>
      <c r="AP766" s="91"/>
      <c r="AQ766" s="217"/>
      <c r="AR766" s="103"/>
      <c r="AS766" s="264"/>
      <c r="AT766" s="94"/>
      <c r="AU766" s="84"/>
      <c r="AV766" s="136"/>
      <c r="AW766" s="77"/>
      <c r="AX766" s="137"/>
      <c r="AY766" s="138"/>
      <c r="AZ766" s="220">
        <f t="shared" si="44"/>
        <v>0</v>
      </c>
      <c r="BA766" s="220">
        <f t="shared" si="45"/>
        <v>0</v>
      </c>
    </row>
    <row r="767" spans="1:53" ht="50.1" customHeight="1" x14ac:dyDescent="0.25">
      <c r="A767" s="17">
        <f t="shared" si="46"/>
        <v>753</v>
      </c>
      <c r="B767" s="228"/>
      <c r="C767" s="221"/>
      <c r="D767" s="88"/>
      <c r="E767" s="100"/>
      <c r="F767" s="95"/>
      <c r="G767" s="114"/>
      <c r="H767" s="96"/>
      <c r="I767" s="97"/>
      <c r="J767" s="98"/>
      <c r="K767" s="101"/>
      <c r="L767" s="124"/>
      <c r="M767" s="333"/>
      <c r="N767" s="341"/>
      <c r="O767" s="82"/>
      <c r="P767" s="93"/>
      <c r="Q767" s="82"/>
      <c r="R767" s="93"/>
      <c r="S767" s="298"/>
      <c r="T767" s="304"/>
      <c r="U767" s="307"/>
      <c r="V767" s="309"/>
      <c r="W767" s="248"/>
      <c r="X767" s="342"/>
      <c r="Y767" s="336"/>
      <c r="Z767" s="123"/>
      <c r="AA767" s="33"/>
      <c r="AB767" s="123"/>
      <c r="AC767" s="33"/>
      <c r="AD767" s="123"/>
      <c r="AE767" s="33"/>
      <c r="AF767" s="123"/>
      <c r="AG767" s="243"/>
      <c r="AH767" s="33"/>
      <c r="AI767" s="245"/>
      <c r="AJ767" s="125"/>
      <c r="AK767" s="91"/>
      <c r="AL767" s="126"/>
      <c r="AM767" s="91"/>
      <c r="AN767" s="91"/>
      <c r="AO767" s="197">
        <f t="shared" si="47"/>
        <v>0</v>
      </c>
      <c r="AP767" s="126"/>
      <c r="AQ767" s="216"/>
      <c r="AR767" s="127"/>
      <c r="AS767" s="269"/>
      <c r="AT767" s="94"/>
      <c r="AU767" s="84"/>
      <c r="AV767" s="80"/>
      <c r="AW767" s="81"/>
      <c r="AX767" s="77"/>
      <c r="AY767" s="107"/>
      <c r="AZ767" s="220">
        <f t="shared" si="44"/>
        <v>0</v>
      </c>
      <c r="BA767" s="220">
        <f t="shared" si="45"/>
        <v>0</v>
      </c>
    </row>
    <row r="768" spans="1:53" ht="50.1" customHeight="1" x14ac:dyDescent="0.25">
      <c r="A768" s="17">
        <f t="shared" si="46"/>
        <v>754</v>
      </c>
      <c r="B768" s="229"/>
      <c r="C768" s="222"/>
      <c r="D768" s="112"/>
      <c r="E768" s="128"/>
      <c r="F768" s="129"/>
      <c r="G768" s="130"/>
      <c r="H768" s="131"/>
      <c r="I768" s="132"/>
      <c r="J768" s="108"/>
      <c r="K768" s="133"/>
      <c r="L768" s="134"/>
      <c r="M768" s="334"/>
      <c r="N768" s="343"/>
      <c r="O768" s="135"/>
      <c r="P768" s="82"/>
      <c r="Q768" s="135"/>
      <c r="R768" s="82"/>
      <c r="S768" s="299"/>
      <c r="T768" s="305"/>
      <c r="U768" s="298"/>
      <c r="V768" s="304"/>
      <c r="W768" s="249"/>
      <c r="X768" s="344"/>
      <c r="Y768" s="337"/>
      <c r="Z768" s="33"/>
      <c r="AA768" s="83"/>
      <c r="AB768" s="33"/>
      <c r="AC768" s="83"/>
      <c r="AD768" s="33"/>
      <c r="AE768" s="83"/>
      <c r="AF768" s="33"/>
      <c r="AG768" s="244"/>
      <c r="AH768" s="83"/>
      <c r="AI768" s="246"/>
      <c r="AJ768" s="102"/>
      <c r="AK768" s="92"/>
      <c r="AL768" s="91"/>
      <c r="AM768" s="92"/>
      <c r="AN768" s="351"/>
      <c r="AO768" s="197">
        <f t="shared" si="47"/>
        <v>0</v>
      </c>
      <c r="AP768" s="91"/>
      <c r="AQ768" s="217"/>
      <c r="AR768" s="103"/>
      <c r="AS768" s="264"/>
      <c r="AT768" s="94"/>
      <c r="AU768" s="84"/>
      <c r="AV768" s="136"/>
      <c r="AW768" s="77"/>
      <c r="AX768" s="137"/>
      <c r="AY768" s="138"/>
      <c r="AZ768" s="220">
        <f t="shared" si="44"/>
        <v>0</v>
      </c>
      <c r="BA768" s="220">
        <f t="shared" si="45"/>
        <v>0</v>
      </c>
    </row>
    <row r="769" spans="1:53" ht="50.1" customHeight="1" x14ac:dyDescent="0.25">
      <c r="A769" s="17">
        <f t="shared" si="46"/>
        <v>755</v>
      </c>
      <c r="B769" s="228"/>
      <c r="C769" s="221"/>
      <c r="D769" s="88"/>
      <c r="E769" s="100"/>
      <c r="F769" s="95"/>
      <c r="G769" s="114"/>
      <c r="H769" s="96"/>
      <c r="I769" s="97"/>
      <c r="J769" s="98"/>
      <c r="K769" s="101"/>
      <c r="L769" s="124"/>
      <c r="M769" s="333"/>
      <c r="N769" s="341"/>
      <c r="O769" s="82"/>
      <c r="P769" s="93"/>
      <c r="Q769" s="82"/>
      <c r="R769" s="93"/>
      <c r="S769" s="298"/>
      <c r="T769" s="304"/>
      <c r="U769" s="307"/>
      <c r="V769" s="309"/>
      <c r="W769" s="248"/>
      <c r="X769" s="342"/>
      <c r="Y769" s="336"/>
      <c r="Z769" s="123"/>
      <c r="AA769" s="33"/>
      <c r="AB769" s="123"/>
      <c r="AC769" s="33"/>
      <c r="AD769" s="123"/>
      <c r="AE769" s="33"/>
      <c r="AF769" s="123"/>
      <c r="AG769" s="243"/>
      <c r="AH769" s="33"/>
      <c r="AI769" s="245"/>
      <c r="AJ769" s="125"/>
      <c r="AK769" s="91"/>
      <c r="AL769" s="126"/>
      <c r="AM769" s="91"/>
      <c r="AN769" s="91"/>
      <c r="AO769" s="197">
        <f t="shared" si="47"/>
        <v>0</v>
      </c>
      <c r="AP769" s="126"/>
      <c r="AQ769" s="216"/>
      <c r="AR769" s="127"/>
      <c r="AS769" s="269"/>
      <c r="AT769" s="94"/>
      <c r="AU769" s="84"/>
      <c r="AV769" s="80"/>
      <c r="AW769" s="81"/>
      <c r="AX769" s="77"/>
      <c r="AY769" s="107"/>
      <c r="AZ769" s="220">
        <f t="shared" si="44"/>
        <v>0</v>
      </c>
      <c r="BA769" s="220">
        <f t="shared" si="45"/>
        <v>0</v>
      </c>
    </row>
    <row r="770" spans="1:53" ht="50.1" customHeight="1" x14ac:dyDescent="0.25">
      <c r="A770" s="17">
        <f t="shared" si="46"/>
        <v>756</v>
      </c>
      <c r="B770" s="229"/>
      <c r="C770" s="222"/>
      <c r="D770" s="112"/>
      <c r="E770" s="128"/>
      <c r="F770" s="129"/>
      <c r="G770" s="130"/>
      <c r="H770" s="131"/>
      <c r="I770" s="132"/>
      <c r="J770" s="108"/>
      <c r="K770" s="133"/>
      <c r="L770" s="134"/>
      <c r="M770" s="334"/>
      <c r="N770" s="343"/>
      <c r="O770" s="135"/>
      <c r="P770" s="82"/>
      <c r="Q770" s="135"/>
      <c r="R770" s="82"/>
      <c r="S770" s="299"/>
      <c r="T770" s="305"/>
      <c r="U770" s="298"/>
      <c r="V770" s="304"/>
      <c r="W770" s="249"/>
      <c r="X770" s="344"/>
      <c r="Y770" s="337"/>
      <c r="Z770" s="33"/>
      <c r="AA770" s="83"/>
      <c r="AB770" s="33"/>
      <c r="AC770" s="83"/>
      <c r="AD770" s="33"/>
      <c r="AE770" s="83"/>
      <c r="AF770" s="33"/>
      <c r="AG770" s="244"/>
      <c r="AH770" s="83"/>
      <c r="AI770" s="246"/>
      <c r="AJ770" s="102"/>
      <c r="AK770" s="92"/>
      <c r="AL770" s="91"/>
      <c r="AM770" s="92"/>
      <c r="AN770" s="351"/>
      <c r="AO770" s="197">
        <f t="shared" si="47"/>
        <v>0</v>
      </c>
      <c r="AP770" s="91"/>
      <c r="AQ770" s="217"/>
      <c r="AR770" s="103"/>
      <c r="AS770" s="264"/>
      <c r="AT770" s="94"/>
      <c r="AU770" s="84"/>
      <c r="AV770" s="136"/>
      <c r="AW770" s="77"/>
      <c r="AX770" s="137"/>
      <c r="AY770" s="138"/>
      <c r="AZ770" s="220">
        <f t="shared" si="44"/>
        <v>0</v>
      </c>
      <c r="BA770" s="220">
        <f t="shared" si="45"/>
        <v>0</v>
      </c>
    </row>
    <row r="771" spans="1:53" ht="50.1" customHeight="1" x14ac:dyDescent="0.25">
      <c r="A771" s="17">
        <f t="shared" si="46"/>
        <v>757</v>
      </c>
      <c r="B771" s="228"/>
      <c r="C771" s="221"/>
      <c r="D771" s="88"/>
      <c r="E771" s="100"/>
      <c r="F771" s="95"/>
      <c r="G771" s="114"/>
      <c r="H771" s="96"/>
      <c r="I771" s="97"/>
      <c r="J771" s="98"/>
      <c r="K771" s="101"/>
      <c r="L771" s="124"/>
      <c r="M771" s="333"/>
      <c r="N771" s="341"/>
      <c r="O771" s="82"/>
      <c r="P771" s="93"/>
      <c r="Q771" s="82"/>
      <c r="R771" s="93"/>
      <c r="S771" s="298"/>
      <c r="T771" s="304"/>
      <c r="U771" s="307"/>
      <c r="V771" s="309"/>
      <c r="W771" s="248"/>
      <c r="X771" s="342"/>
      <c r="Y771" s="336"/>
      <c r="Z771" s="123"/>
      <c r="AA771" s="33"/>
      <c r="AB771" s="123"/>
      <c r="AC771" s="33"/>
      <c r="AD771" s="123"/>
      <c r="AE771" s="33"/>
      <c r="AF771" s="123"/>
      <c r="AG771" s="243"/>
      <c r="AH771" s="33"/>
      <c r="AI771" s="245"/>
      <c r="AJ771" s="125"/>
      <c r="AK771" s="91"/>
      <c r="AL771" s="126"/>
      <c r="AM771" s="91"/>
      <c r="AN771" s="91"/>
      <c r="AO771" s="197">
        <f t="shared" si="47"/>
        <v>0</v>
      </c>
      <c r="AP771" s="126"/>
      <c r="AQ771" s="216"/>
      <c r="AR771" s="127"/>
      <c r="AS771" s="269"/>
      <c r="AT771" s="94"/>
      <c r="AU771" s="84"/>
      <c r="AV771" s="80"/>
      <c r="AW771" s="81"/>
      <c r="AX771" s="77"/>
      <c r="AY771" s="107"/>
      <c r="AZ771" s="220">
        <f t="shared" si="44"/>
        <v>0</v>
      </c>
      <c r="BA771" s="220">
        <f t="shared" si="45"/>
        <v>0</v>
      </c>
    </row>
    <row r="772" spans="1:53" ht="50.1" customHeight="1" x14ac:dyDescent="0.25">
      <c r="A772" s="17">
        <f t="shared" si="46"/>
        <v>758</v>
      </c>
      <c r="B772" s="229"/>
      <c r="C772" s="222"/>
      <c r="D772" s="112"/>
      <c r="E772" s="128"/>
      <c r="F772" s="129"/>
      <c r="G772" s="130"/>
      <c r="H772" s="131"/>
      <c r="I772" s="132"/>
      <c r="J772" s="108"/>
      <c r="K772" s="133"/>
      <c r="L772" s="134"/>
      <c r="M772" s="334"/>
      <c r="N772" s="343"/>
      <c r="O772" s="135"/>
      <c r="P772" s="82"/>
      <c r="Q772" s="135"/>
      <c r="R772" s="82"/>
      <c r="S772" s="299"/>
      <c r="T772" s="305"/>
      <c r="U772" s="298"/>
      <c r="V772" s="304"/>
      <c r="W772" s="249"/>
      <c r="X772" s="344"/>
      <c r="Y772" s="337"/>
      <c r="Z772" s="33"/>
      <c r="AA772" s="83"/>
      <c r="AB772" s="33"/>
      <c r="AC772" s="83"/>
      <c r="AD772" s="33"/>
      <c r="AE772" s="83"/>
      <c r="AF772" s="33"/>
      <c r="AG772" s="244"/>
      <c r="AH772" s="83"/>
      <c r="AI772" s="246"/>
      <c r="AJ772" s="102"/>
      <c r="AK772" s="92"/>
      <c r="AL772" s="91"/>
      <c r="AM772" s="92"/>
      <c r="AN772" s="351"/>
      <c r="AO772" s="197">
        <f t="shared" si="47"/>
        <v>0</v>
      </c>
      <c r="AP772" s="91"/>
      <c r="AQ772" s="217"/>
      <c r="AR772" s="103"/>
      <c r="AS772" s="264"/>
      <c r="AT772" s="94"/>
      <c r="AU772" s="84"/>
      <c r="AV772" s="136"/>
      <c r="AW772" s="77"/>
      <c r="AX772" s="137"/>
      <c r="AY772" s="138"/>
      <c r="AZ772" s="220">
        <f t="shared" si="44"/>
        <v>0</v>
      </c>
      <c r="BA772" s="220">
        <f t="shared" si="45"/>
        <v>0</v>
      </c>
    </row>
    <row r="773" spans="1:53" ht="50.1" customHeight="1" x14ac:dyDescent="0.25">
      <c r="A773" s="17">
        <f t="shared" si="46"/>
        <v>759</v>
      </c>
      <c r="B773" s="228"/>
      <c r="C773" s="221"/>
      <c r="D773" s="88"/>
      <c r="E773" s="100"/>
      <c r="F773" s="95"/>
      <c r="G773" s="114"/>
      <c r="H773" s="96"/>
      <c r="I773" s="97"/>
      <c r="J773" s="98"/>
      <c r="K773" s="101"/>
      <c r="L773" s="124"/>
      <c r="M773" s="333"/>
      <c r="N773" s="341"/>
      <c r="O773" s="82"/>
      <c r="P773" s="93"/>
      <c r="Q773" s="82"/>
      <c r="R773" s="93"/>
      <c r="S773" s="298"/>
      <c r="T773" s="304"/>
      <c r="U773" s="307"/>
      <c r="V773" s="309"/>
      <c r="W773" s="248"/>
      <c r="X773" s="342"/>
      <c r="Y773" s="336"/>
      <c r="Z773" s="123"/>
      <c r="AA773" s="33"/>
      <c r="AB773" s="123"/>
      <c r="AC773" s="33"/>
      <c r="AD773" s="123"/>
      <c r="AE773" s="33"/>
      <c r="AF773" s="123"/>
      <c r="AG773" s="243"/>
      <c r="AH773" s="33"/>
      <c r="AI773" s="245"/>
      <c r="AJ773" s="125"/>
      <c r="AK773" s="91"/>
      <c r="AL773" s="126"/>
      <c r="AM773" s="91"/>
      <c r="AN773" s="91"/>
      <c r="AO773" s="197">
        <f t="shared" si="47"/>
        <v>0</v>
      </c>
      <c r="AP773" s="126"/>
      <c r="AQ773" s="216"/>
      <c r="AR773" s="127"/>
      <c r="AS773" s="269"/>
      <c r="AT773" s="94"/>
      <c r="AU773" s="84"/>
      <c r="AV773" s="80"/>
      <c r="AW773" s="81"/>
      <c r="AX773" s="77"/>
      <c r="AY773" s="107"/>
      <c r="AZ773" s="220">
        <f t="shared" si="44"/>
        <v>0</v>
      </c>
      <c r="BA773" s="220">
        <f t="shared" si="45"/>
        <v>0</v>
      </c>
    </row>
    <row r="774" spans="1:53" ht="50.1" customHeight="1" x14ac:dyDescent="0.25">
      <c r="A774" s="17">
        <f t="shared" si="46"/>
        <v>760</v>
      </c>
      <c r="B774" s="229"/>
      <c r="C774" s="222"/>
      <c r="D774" s="112"/>
      <c r="E774" s="128"/>
      <c r="F774" s="129"/>
      <c r="G774" s="130"/>
      <c r="H774" s="131"/>
      <c r="I774" s="132"/>
      <c r="J774" s="108"/>
      <c r="K774" s="133"/>
      <c r="L774" s="134"/>
      <c r="M774" s="334"/>
      <c r="N774" s="343"/>
      <c r="O774" s="135"/>
      <c r="P774" s="82"/>
      <c r="Q774" s="135"/>
      <c r="R774" s="82"/>
      <c r="S774" s="299"/>
      <c r="T774" s="305"/>
      <c r="U774" s="298"/>
      <c r="V774" s="304"/>
      <c r="W774" s="249"/>
      <c r="X774" s="344"/>
      <c r="Y774" s="337"/>
      <c r="Z774" s="33"/>
      <c r="AA774" s="83"/>
      <c r="AB774" s="33"/>
      <c r="AC774" s="83"/>
      <c r="AD774" s="33"/>
      <c r="AE774" s="83"/>
      <c r="AF774" s="33"/>
      <c r="AG774" s="244"/>
      <c r="AH774" s="83"/>
      <c r="AI774" s="246"/>
      <c r="AJ774" s="102"/>
      <c r="AK774" s="92"/>
      <c r="AL774" s="91"/>
      <c r="AM774" s="92"/>
      <c r="AN774" s="351"/>
      <c r="AO774" s="197">
        <f t="shared" si="47"/>
        <v>0</v>
      </c>
      <c r="AP774" s="91"/>
      <c r="AQ774" s="217"/>
      <c r="AR774" s="103"/>
      <c r="AS774" s="264"/>
      <c r="AT774" s="94"/>
      <c r="AU774" s="84"/>
      <c r="AV774" s="136"/>
      <c r="AW774" s="77"/>
      <c r="AX774" s="137"/>
      <c r="AY774" s="138"/>
      <c r="AZ774" s="220">
        <f t="shared" si="44"/>
        <v>0</v>
      </c>
      <c r="BA774" s="220">
        <f t="shared" si="45"/>
        <v>0</v>
      </c>
    </row>
    <row r="775" spans="1:53" ht="50.1" customHeight="1" x14ac:dyDescent="0.25">
      <c r="A775" s="17">
        <f t="shared" si="46"/>
        <v>761</v>
      </c>
      <c r="B775" s="228"/>
      <c r="C775" s="221"/>
      <c r="D775" s="88"/>
      <c r="E775" s="100"/>
      <c r="F775" s="95"/>
      <c r="G775" s="114"/>
      <c r="H775" s="96"/>
      <c r="I775" s="97"/>
      <c r="J775" s="98"/>
      <c r="K775" s="101"/>
      <c r="L775" s="124"/>
      <c r="M775" s="333"/>
      <c r="N775" s="341"/>
      <c r="O775" s="82"/>
      <c r="P775" s="93"/>
      <c r="Q775" s="82"/>
      <c r="R775" s="93"/>
      <c r="S775" s="298"/>
      <c r="T775" s="304"/>
      <c r="U775" s="307"/>
      <c r="V775" s="309"/>
      <c r="W775" s="248"/>
      <c r="X775" s="342"/>
      <c r="Y775" s="336"/>
      <c r="Z775" s="123"/>
      <c r="AA775" s="33"/>
      <c r="AB775" s="123"/>
      <c r="AC775" s="33"/>
      <c r="AD775" s="123"/>
      <c r="AE775" s="33"/>
      <c r="AF775" s="123"/>
      <c r="AG775" s="243"/>
      <c r="AH775" s="33"/>
      <c r="AI775" s="245"/>
      <c r="AJ775" s="125"/>
      <c r="AK775" s="91"/>
      <c r="AL775" s="126"/>
      <c r="AM775" s="91"/>
      <c r="AN775" s="91"/>
      <c r="AO775" s="197">
        <f t="shared" si="47"/>
        <v>0</v>
      </c>
      <c r="AP775" s="126"/>
      <c r="AQ775" s="216"/>
      <c r="AR775" s="127"/>
      <c r="AS775" s="269"/>
      <c r="AT775" s="94"/>
      <c r="AU775" s="84"/>
      <c r="AV775" s="80"/>
      <c r="AW775" s="81"/>
      <c r="AX775" s="77"/>
      <c r="AY775" s="107"/>
      <c r="AZ775" s="220">
        <f t="shared" si="44"/>
        <v>0</v>
      </c>
      <c r="BA775" s="220">
        <f t="shared" si="45"/>
        <v>0</v>
      </c>
    </row>
    <row r="776" spans="1:53" ht="50.1" customHeight="1" x14ac:dyDescent="0.25">
      <c r="A776" s="17">
        <f t="shared" si="46"/>
        <v>762</v>
      </c>
      <c r="B776" s="229"/>
      <c r="C776" s="222"/>
      <c r="D776" s="112"/>
      <c r="E776" s="128"/>
      <c r="F776" s="129"/>
      <c r="G776" s="130"/>
      <c r="H776" s="131"/>
      <c r="I776" s="132"/>
      <c r="J776" s="108"/>
      <c r="K776" s="133"/>
      <c r="L776" s="134"/>
      <c r="M776" s="334"/>
      <c r="N776" s="343"/>
      <c r="O776" s="135"/>
      <c r="P776" s="82"/>
      <c r="Q776" s="135"/>
      <c r="R776" s="82"/>
      <c r="S776" s="299"/>
      <c r="T776" s="305"/>
      <c r="U776" s="298"/>
      <c r="V776" s="304"/>
      <c r="W776" s="249"/>
      <c r="X776" s="344"/>
      <c r="Y776" s="337"/>
      <c r="Z776" s="33"/>
      <c r="AA776" s="83"/>
      <c r="AB776" s="33"/>
      <c r="AC776" s="83"/>
      <c r="AD776" s="33"/>
      <c r="AE776" s="83"/>
      <c r="AF776" s="33"/>
      <c r="AG776" s="244"/>
      <c r="AH776" s="83"/>
      <c r="AI776" s="246"/>
      <c r="AJ776" s="102"/>
      <c r="AK776" s="92"/>
      <c r="AL776" s="91"/>
      <c r="AM776" s="92"/>
      <c r="AN776" s="351"/>
      <c r="AO776" s="197">
        <f t="shared" si="47"/>
        <v>0</v>
      </c>
      <c r="AP776" s="91"/>
      <c r="AQ776" s="217"/>
      <c r="AR776" s="103"/>
      <c r="AS776" s="264"/>
      <c r="AT776" s="94"/>
      <c r="AU776" s="84"/>
      <c r="AV776" s="136"/>
      <c r="AW776" s="77"/>
      <c r="AX776" s="137"/>
      <c r="AY776" s="138"/>
      <c r="AZ776" s="220">
        <f t="shared" si="44"/>
        <v>0</v>
      </c>
      <c r="BA776" s="220">
        <f t="shared" si="45"/>
        <v>0</v>
      </c>
    </row>
    <row r="777" spans="1:53" ht="50.1" customHeight="1" x14ac:dyDescent="0.25">
      <c r="A777" s="17">
        <f t="shared" si="46"/>
        <v>763</v>
      </c>
      <c r="B777" s="228"/>
      <c r="C777" s="221"/>
      <c r="D777" s="88"/>
      <c r="E777" s="100"/>
      <c r="F777" s="95"/>
      <c r="G777" s="114"/>
      <c r="H777" s="96"/>
      <c r="I777" s="97"/>
      <c r="J777" s="98"/>
      <c r="K777" s="101"/>
      <c r="L777" s="124"/>
      <c r="M777" s="333"/>
      <c r="N777" s="341"/>
      <c r="O777" s="82"/>
      <c r="P777" s="93"/>
      <c r="Q777" s="82"/>
      <c r="R777" s="93"/>
      <c r="S777" s="298"/>
      <c r="T777" s="304"/>
      <c r="U777" s="307"/>
      <c r="V777" s="309"/>
      <c r="W777" s="248"/>
      <c r="X777" s="342"/>
      <c r="Y777" s="336"/>
      <c r="Z777" s="123"/>
      <c r="AA777" s="33"/>
      <c r="AB777" s="123"/>
      <c r="AC777" s="33"/>
      <c r="AD777" s="123"/>
      <c r="AE777" s="33"/>
      <c r="AF777" s="123"/>
      <c r="AG777" s="243"/>
      <c r="AH777" s="33"/>
      <c r="AI777" s="245"/>
      <c r="AJ777" s="125"/>
      <c r="AK777" s="91"/>
      <c r="AL777" s="126"/>
      <c r="AM777" s="91"/>
      <c r="AN777" s="91"/>
      <c r="AO777" s="197">
        <f t="shared" si="47"/>
        <v>0</v>
      </c>
      <c r="AP777" s="126"/>
      <c r="AQ777" s="216"/>
      <c r="AR777" s="127"/>
      <c r="AS777" s="269"/>
      <c r="AT777" s="94"/>
      <c r="AU777" s="84"/>
      <c r="AV777" s="80"/>
      <c r="AW777" s="81"/>
      <c r="AX777" s="77"/>
      <c r="AY777" s="107"/>
      <c r="AZ777" s="220">
        <f t="shared" si="44"/>
        <v>0</v>
      </c>
      <c r="BA777" s="220">
        <f t="shared" si="45"/>
        <v>0</v>
      </c>
    </row>
    <row r="778" spans="1:53" ht="50.1" customHeight="1" x14ac:dyDescent="0.25">
      <c r="A778" s="17">
        <f t="shared" si="46"/>
        <v>764</v>
      </c>
      <c r="B778" s="229"/>
      <c r="C778" s="222"/>
      <c r="D778" s="112"/>
      <c r="E778" s="128"/>
      <c r="F778" s="129"/>
      <c r="G778" s="130"/>
      <c r="H778" s="131"/>
      <c r="I778" s="132"/>
      <c r="J778" s="108"/>
      <c r="K778" s="133"/>
      <c r="L778" s="134"/>
      <c r="M778" s="334"/>
      <c r="N778" s="343"/>
      <c r="O778" s="135"/>
      <c r="P778" s="82"/>
      <c r="Q778" s="135"/>
      <c r="R778" s="82"/>
      <c r="S778" s="299"/>
      <c r="T778" s="305"/>
      <c r="U778" s="298"/>
      <c r="V778" s="304"/>
      <c r="W778" s="249"/>
      <c r="X778" s="344"/>
      <c r="Y778" s="337"/>
      <c r="Z778" s="33"/>
      <c r="AA778" s="83"/>
      <c r="AB778" s="33"/>
      <c r="AC778" s="83"/>
      <c r="AD778" s="33"/>
      <c r="AE778" s="83"/>
      <c r="AF778" s="33"/>
      <c r="AG778" s="244"/>
      <c r="AH778" s="83"/>
      <c r="AI778" s="246"/>
      <c r="AJ778" s="102"/>
      <c r="AK778" s="92"/>
      <c r="AL778" s="91"/>
      <c r="AM778" s="92"/>
      <c r="AN778" s="351"/>
      <c r="AO778" s="197">
        <f t="shared" si="47"/>
        <v>0</v>
      </c>
      <c r="AP778" s="91"/>
      <c r="AQ778" s="217"/>
      <c r="AR778" s="103"/>
      <c r="AS778" s="264"/>
      <c r="AT778" s="94"/>
      <c r="AU778" s="84"/>
      <c r="AV778" s="136"/>
      <c r="AW778" s="77"/>
      <c r="AX778" s="137"/>
      <c r="AY778" s="138"/>
      <c r="AZ778" s="220">
        <f t="shared" si="44"/>
        <v>0</v>
      </c>
      <c r="BA778" s="220">
        <f t="shared" si="45"/>
        <v>0</v>
      </c>
    </row>
    <row r="779" spans="1:53" ht="50.1" customHeight="1" x14ac:dyDescent="0.25">
      <c r="A779" s="17">
        <f t="shared" si="46"/>
        <v>765</v>
      </c>
      <c r="B779" s="228"/>
      <c r="C779" s="221"/>
      <c r="D779" s="88"/>
      <c r="E779" s="100"/>
      <c r="F779" s="95"/>
      <c r="G779" s="114"/>
      <c r="H779" s="96"/>
      <c r="I779" s="97"/>
      <c r="J779" s="98"/>
      <c r="K779" s="101"/>
      <c r="L779" s="124"/>
      <c r="M779" s="333"/>
      <c r="N779" s="341"/>
      <c r="O779" s="82"/>
      <c r="P779" s="93"/>
      <c r="Q779" s="82"/>
      <c r="R779" s="93"/>
      <c r="S779" s="298"/>
      <c r="T779" s="304"/>
      <c r="U779" s="307"/>
      <c r="V779" s="309"/>
      <c r="W779" s="248"/>
      <c r="X779" s="342"/>
      <c r="Y779" s="336"/>
      <c r="Z779" s="123"/>
      <c r="AA779" s="33"/>
      <c r="AB779" s="123"/>
      <c r="AC779" s="33"/>
      <c r="AD779" s="123"/>
      <c r="AE779" s="33"/>
      <c r="AF779" s="123"/>
      <c r="AG779" s="243"/>
      <c r="AH779" s="33"/>
      <c r="AI779" s="245"/>
      <c r="AJ779" s="125"/>
      <c r="AK779" s="91"/>
      <c r="AL779" s="126"/>
      <c r="AM779" s="91"/>
      <c r="AN779" s="91"/>
      <c r="AO779" s="197">
        <f t="shared" si="47"/>
        <v>0</v>
      </c>
      <c r="AP779" s="126"/>
      <c r="AQ779" s="216"/>
      <c r="AR779" s="127"/>
      <c r="AS779" s="269"/>
      <c r="AT779" s="94"/>
      <c r="AU779" s="84"/>
      <c r="AV779" s="80"/>
      <c r="AW779" s="81"/>
      <c r="AX779" s="77"/>
      <c r="AY779" s="107"/>
      <c r="AZ779" s="220">
        <f t="shared" si="44"/>
        <v>0</v>
      </c>
      <c r="BA779" s="220">
        <f t="shared" si="45"/>
        <v>0</v>
      </c>
    </row>
    <row r="780" spans="1:53" ht="50.1" customHeight="1" x14ac:dyDescent="0.25">
      <c r="A780" s="17">
        <f t="shared" si="46"/>
        <v>766</v>
      </c>
      <c r="B780" s="229"/>
      <c r="C780" s="222"/>
      <c r="D780" s="112"/>
      <c r="E780" s="128"/>
      <c r="F780" s="129"/>
      <c r="G780" s="130"/>
      <c r="H780" s="131"/>
      <c r="I780" s="132"/>
      <c r="J780" s="108"/>
      <c r="K780" s="133"/>
      <c r="L780" s="134"/>
      <c r="M780" s="334"/>
      <c r="N780" s="343"/>
      <c r="O780" s="135"/>
      <c r="P780" s="82"/>
      <c r="Q780" s="135"/>
      <c r="R780" s="82"/>
      <c r="S780" s="299"/>
      <c r="T780" s="305"/>
      <c r="U780" s="298"/>
      <c r="V780" s="304"/>
      <c r="W780" s="249"/>
      <c r="X780" s="344"/>
      <c r="Y780" s="337"/>
      <c r="Z780" s="33"/>
      <c r="AA780" s="83"/>
      <c r="AB780" s="33"/>
      <c r="AC780" s="83"/>
      <c r="AD780" s="33"/>
      <c r="AE780" s="83"/>
      <c r="AF780" s="33"/>
      <c r="AG780" s="244"/>
      <c r="AH780" s="83"/>
      <c r="AI780" s="246"/>
      <c r="AJ780" s="102"/>
      <c r="AK780" s="92"/>
      <c r="AL780" s="91"/>
      <c r="AM780" s="92"/>
      <c r="AN780" s="351"/>
      <c r="AO780" s="197">
        <f t="shared" si="47"/>
        <v>0</v>
      </c>
      <c r="AP780" s="91"/>
      <c r="AQ780" s="217"/>
      <c r="AR780" s="103"/>
      <c r="AS780" s="264"/>
      <c r="AT780" s="94"/>
      <c r="AU780" s="84"/>
      <c r="AV780" s="136"/>
      <c r="AW780" s="77"/>
      <c r="AX780" s="137"/>
      <c r="AY780" s="138"/>
      <c r="AZ780" s="220">
        <f t="shared" si="44"/>
        <v>0</v>
      </c>
      <c r="BA780" s="220">
        <f t="shared" si="45"/>
        <v>0</v>
      </c>
    </row>
    <row r="781" spans="1:53" ht="50.1" customHeight="1" x14ac:dyDescent="0.25">
      <c r="A781" s="17">
        <f t="shared" si="46"/>
        <v>767</v>
      </c>
      <c r="B781" s="228"/>
      <c r="C781" s="221"/>
      <c r="D781" s="88"/>
      <c r="E781" s="100"/>
      <c r="F781" s="95"/>
      <c r="G781" s="114"/>
      <c r="H781" s="96"/>
      <c r="I781" s="97"/>
      <c r="J781" s="98"/>
      <c r="K781" s="101"/>
      <c r="L781" s="124"/>
      <c r="M781" s="333"/>
      <c r="N781" s="341"/>
      <c r="O781" s="82"/>
      <c r="P781" s="93"/>
      <c r="Q781" s="82"/>
      <c r="R781" s="93"/>
      <c r="S781" s="298"/>
      <c r="T781" s="304"/>
      <c r="U781" s="307"/>
      <c r="V781" s="309"/>
      <c r="W781" s="248"/>
      <c r="X781" s="342"/>
      <c r="Y781" s="336"/>
      <c r="Z781" s="123"/>
      <c r="AA781" s="33"/>
      <c r="AB781" s="123"/>
      <c r="AC781" s="33"/>
      <c r="AD781" s="123"/>
      <c r="AE781" s="33"/>
      <c r="AF781" s="123"/>
      <c r="AG781" s="243"/>
      <c r="AH781" s="33"/>
      <c r="AI781" s="245"/>
      <c r="AJ781" s="125"/>
      <c r="AK781" s="91"/>
      <c r="AL781" s="126"/>
      <c r="AM781" s="91"/>
      <c r="AN781" s="91"/>
      <c r="AO781" s="197">
        <f t="shared" si="47"/>
        <v>0</v>
      </c>
      <c r="AP781" s="126"/>
      <c r="AQ781" s="216"/>
      <c r="AR781" s="127"/>
      <c r="AS781" s="269"/>
      <c r="AT781" s="94"/>
      <c r="AU781" s="84"/>
      <c r="AV781" s="80"/>
      <c r="AW781" s="81"/>
      <c r="AX781" s="77"/>
      <c r="AY781" s="107"/>
      <c r="AZ781" s="220">
        <f t="shared" si="44"/>
        <v>0</v>
      </c>
      <c r="BA781" s="220">
        <f t="shared" si="45"/>
        <v>0</v>
      </c>
    </row>
    <row r="782" spans="1:53" ht="50.1" customHeight="1" x14ac:dyDescent="0.25">
      <c r="A782" s="17">
        <f t="shared" si="46"/>
        <v>768</v>
      </c>
      <c r="B782" s="229"/>
      <c r="C782" s="222"/>
      <c r="D782" s="112"/>
      <c r="E782" s="128"/>
      <c r="F782" s="129"/>
      <c r="G782" s="130"/>
      <c r="H782" s="131"/>
      <c r="I782" s="132"/>
      <c r="J782" s="108"/>
      <c r="K782" s="133"/>
      <c r="L782" s="134"/>
      <c r="M782" s="334"/>
      <c r="N782" s="343"/>
      <c r="O782" s="135"/>
      <c r="P782" s="82"/>
      <c r="Q782" s="135"/>
      <c r="R782" s="82"/>
      <c r="S782" s="299"/>
      <c r="T782" s="305"/>
      <c r="U782" s="298"/>
      <c r="V782" s="304"/>
      <c r="W782" s="249"/>
      <c r="X782" s="344"/>
      <c r="Y782" s="337"/>
      <c r="Z782" s="33"/>
      <c r="AA782" s="83"/>
      <c r="AB782" s="33"/>
      <c r="AC782" s="83"/>
      <c r="AD782" s="33"/>
      <c r="AE782" s="83"/>
      <c r="AF782" s="33"/>
      <c r="AG782" s="244"/>
      <c r="AH782" s="83"/>
      <c r="AI782" s="246"/>
      <c r="AJ782" s="102"/>
      <c r="AK782" s="92"/>
      <c r="AL782" s="91"/>
      <c r="AM782" s="92"/>
      <c r="AN782" s="351"/>
      <c r="AO782" s="197">
        <f t="shared" si="47"/>
        <v>0</v>
      </c>
      <c r="AP782" s="91"/>
      <c r="AQ782" s="217"/>
      <c r="AR782" s="103"/>
      <c r="AS782" s="264"/>
      <c r="AT782" s="94"/>
      <c r="AU782" s="84"/>
      <c r="AV782" s="136"/>
      <c r="AW782" s="77"/>
      <c r="AX782" s="137"/>
      <c r="AY782" s="138"/>
      <c r="AZ782" s="220">
        <f t="shared" si="44"/>
        <v>0</v>
      </c>
      <c r="BA782" s="220">
        <f t="shared" si="45"/>
        <v>0</v>
      </c>
    </row>
    <row r="783" spans="1:53" ht="50.1" customHeight="1" x14ac:dyDescent="0.25">
      <c r="A783" s="17">
        <f t="shared" si="46"/>
        <v>769</v>
      </c>
      <c r="B783" s="228"/>
      <c r="C783" s="221"/>
      <c r="D783" s="88"/>
      <c r="E783" s="100"/>
      <c r="F783" s="95"/>
      <c r="G783" s="114"/>
      <c r="H783" s="96"/>
      <c r="I783" s="97"/>
      <c r="J783" s="98"/>
      <c r="K783" s="101"/>
      <c r="L783" s="124"/>
      <c r="M783" s="333"/>
      <c r="N783" s="341"/>
      <c r="O783" s="82"/>
      <c r="P783" s="93"/>
      <c r="Q783" s="82"/>
      <c r="R783" s="93"/>
      <c r="S783" s="298"/>
      <c r="T783" s="304"/>
      <c r="U783" s="307"/>
      <c r="V783" s="309"/>
      <c r="W783" s="248"/>
      <c r="X783" s="342"/>
      <c r="Y783" s="336"/>
      <c r="Z783" s="123"/>
      <c r="AA783" s="33"/>
      <c r="AB783" s="123"/>
      <c r="AC783" s="33"/>
      <c r="AD783" s="123"/>
      <c r="AE783" s="33"/>
      <c r="AF783" s="123"/>
      <c r="AG783" s="243"/>
      <c r="AH783" s="33"/>
      <c r="AI783" s="245"/>
      <c r="AJ783" s="125"/>
      <c r="AK783" s="91"/>
      <c r="AL783" s="126"/>
      <c r="AM783" s="91"/>
      <c r="AN783" s="91"/>
      <c r="AO783" s="197">
        <f t="shared" si="47"/>
        <v>0</v>
      </c>
      <c r="AP783" s="126"/>
      <c r="AQ783" s="216"/>
      <c r="AR783" s="127"/>
      <c r="AS783" s="269"/>
      <c r="AT783" s="94"/>
      <c r="AU783" s="84"/>
      <c r="AV783" s="80"/>
      <c r="AW783" s="81"/>
      <c r="AX783" s="77"/>
      <c r="AY783" s="107"/>
      <c r="AZ783" s="220">
        <f t="shared" ref="AZ783:AZ846" si="48">M783-B783</f>
        <v>0</v>
      </c>
      <c r="BA783" s="220">
        <f t="shared" ref="BA783:BA846" si="49">AU783-M783</f>
        <v>0</v>
      </c>
    </row>
    <row r="784" spans="1:53" ht="50.1" customHeight="1" x14ac:dyDescent="0.25">
      <c r="A784" s="17">
        <f t="shared" ref="A784:A847" si="50">ROW(A770)</f>
        <v>770</v>
      </c>
      <c r="B784" s="229"/>
      <c r="C784" s="222"/>
      <c r="D784" s="112"/>
      <c r="E784" s="128"/>
      <c r="F784" s="129"/>
      <c r="G784" s="130"/>
      <c r="H784" s="131"/>
      <c r="I784" s="132"/>
      <c r="J784" s="108"/>
      <c r="K784" s="133"/>
      <c r="L784" s="134"/>
      <c r="M784" s="334"/>
      <c r="N784" s="343"/>
      <c r="O784" s="135"/>
      <c r="P784" s="82"/>
      <c r="Q784" s="135"/>
      <c r="R784" s="82"/>
      <c r="S784" s="299"/>
      <c r="T784" s="305"/>
      <c r="U784" s="298"/>
      <c r="V784" s="304"/>
      <c r="W784" s="249"/>
      <c r="X784" s="344"/>
      <c r="Y784" s="337"/>
      <c r="Z784" s="33"/>
      <c r="AA784" s="83"/>
      <c r="AB784" s="33"/>
      <c r="AC784" s="83"/>
      <c r="AD784" s="33"/>
      <c r="AE784" s="83"/>
      <c r="AF784" s="33"/>
      <c r="AG784" s="244"/>
      <c r="AH784" s="83"/>
      <c r="AI784" s="246"/>
      <c r="AJ784" s="102"/>
      <c r="AK784" s="92"/>
      <c r="AL784" s="91"/>
      <c r="AM784" s="92"/>
      <c r="AN784" s="351"/>
      <c r="AO784" s="197">
        <f t="shared" ref="AO784:AO847" si="51">AJ784-AK784-AL784-AM784-AN784</f>
        <v>0</v>
      </c>
      <c r="AP784" s="91"/>
      <c r="AQ784" s="217"/>
      <c r="AR784" s="103"/>
      <c r="AS784" s="264"/>
      <c r="AT784" s="94"/>
      <c r="AU784" s="84"/>
      <c r="AV784" s="136"/>
      <c r="AW784" s="77"/>
      <c r="AX784" s="137"/>
      <c r="AY784" s="138"/>
      <c r="AZ784" s="220">
        <f t="shared" si="48"/>
        <v>0</v>
      </c>
      <c r="BA784" s="220">
        <f t="shared" si="49"/>
        <v>0</v>
      </c>
    </row>
    <row r="785" spans="1:53" ht="50.1" customHeight="1" x14ac:dyDescent="0.25">
      <c r="A785" s="17">
        <f t="shared" si="50"/>
        <v>771</v>
      </c>
      <c r="B785" s="228"/>
      <c r="C785" s="221"/>
      <c r="D785" s="88"/>
      <c r="E785" s="100"/>
      <c r="F785" s="95"/>
      <c r="G785" s="114"/>
      <c r="H785" s="96"/>
      <c r="I785" s="97"/>
      <c r="J785" s="98"/>
      <c r="K785" s="101"/>
      <c r="L785" s="124"/>
      <c r="M785" s="333"/>
      <c r="N785" s="341"/>
      <c r="O785" s="82"/>
      <c r="P785" s="93"/>
      <c r="Q785" s="82"/>
      <c r="R785" s="93"/>
      <c r="S785" s="298"/>
      <c r="T785" s="304"/>
      <c r="U785" s="307"/>
      <c r="V785" s="309"/>
      <c r="W785" s="248"/>
      <c r="X785" s="342"/>
      <c r="Y785" s="336"/>
      <c r="Z785" s="123"/>
      <c r="AA785" s="33"/>
      <c r="AB785" s="123"/>
      <c r="AC785" s="33"/>
      <c r="AD785" s="123"/>
      <c r="AE785" s="33"/>
      <c r="AF785" s="123"/>
      <c r="AG785" s="243"/>
      <c r="AH785" s="33"/>
      <c r="AI785" s="245"/>
      <c r="AJ785" s="125"/>
      <c r="AK785" s="91"/>
      <c r="AL785" s="126"/>
      <c r="AM785" s="91"/>
      <c r="AN785" s="91"/>
      <c r="AO785" s="197">
        <f t="shared" si="51"/>
        <v>0</v>
      </c>
      <c r="AP785" s="126"/>
      <c r="AQ785" s="216"/>
      <c r="AR785" s="127"/>
      <c r="AS785" s="269"/>
      <c r="AT785" s="94"/>
      <c r="AU785" s="84"/>
      <c r="AV785" s="80"/>
      <c r="AW785" s="81"/>
      <c r="AX785" s="77"/>
      <c r="AY785" s="107"/>
      <c r="AZ785" s="220">
        <f t="shared" si="48"/>
        <v>0</v>
      </c>
      <c r="BA785" s="220">
        <f t="shared" si="49"/>
        <v>0</v>
      </c>
    </row>
    <row r="786" spans="1:53" ht="50.1" customHeight="1" x14ac:dyDescent="0.25">
      <c r="A786" s="17">
        <f t="shared" si="50"/>
        <v>772</v>
      </c>
      <c r="B786" s="229"/>
      <c r="C786" s="222"/>
      <c r="D786" s="112"/>
      <c r="E786" s="128"/>
      <c r="F786" s="129"/>
      <c r="G786" s="130"/>
      <c r="H786" s="131"/>
      <c r="I786" s="132"/>
      <c r="J786" s="108"/>
      <c r="K786" s="133"/>
      <c r="L786" s="134"/>
      <c r="M786" s="334"/>
      <c r="N786" s="343"/>
      <c r="O786" s="135"/>
      <c r="P786" s="82"/>
      <c r="Q786" s="135"/>
      <c r="R786" s="82"/>
      <c r="S786" s="299"/>
      <c r="T786" s="305"/>
      <c r="U786" s="298"/>
      <c r="V786" s="304"/>
      <c r="W786" s="249"/>
      <c r="X786" s="344"/>
      <c r="Y786" s="337"/>
      <c r="Z786" s="33"/>
      <c r="AA786" s="83"/>
      <c r="AB786" s="33"/>
      <c r="AC786" s="83"/>
      <c r="AD786" s="33"/>
      <c r="AE786" s="83"/>
      <c r="AF786" s="33"/>
      <c r="AG786" s="244"/>
      <c r="AH786" s="83"/>
      <c r="AI786" s="246"/>
      <c r="AJ786" s="102"/>
      <c r="AK786" s="92"/>
      <c r="AL786" s="91"/>
      <c r="AM786" s="92"/>
      <c r="AN786" s="351"/>
      <c r="AO786" s="197">
        <f t="shared" si="51"/>
        <v>0</v>
      </c>
      <c r="AP786" s="91"/>
      <c r="AQ786" s="217"/>
      <c r="AR786" s="103"/>
      <c r="AS786" s="264"/>
      <c r="AT786" s="94"/>
      <c r="AU786" s="84"/>
      <c r="AV786" s="136"/>
      <c r="AW786" s="77"/>
      <c r="AX786" s="137"/>
      <c r="AY786" s="138"/>
      <c r="AZ786" s="220">
        <f t="shared" si="48"/>
        <v>0</v>
      </c>
      <c r="BA786" s="220">
        <f t="shared" si="49"/>
        <v>0</v>
      </c>
    </row>
    <row r="787" spans="1:53" ht="50.1" customHeight="1" x14ac:dyDescent="0.25">
      <c r="A787" s="17">
        <f t="shared" si="50"/>
        <v>773</v>
      </c>
      <c r="B787" s="228"/>
      <c r="C787" s="221"/>
      <c r="D787" s="88"/>
      <c r="E787" s="100"/>
      <c r="F787" s="95"/>
      <c r="G787" s="114"/>
      <c r="H787" s="96"/>
      <c r="I787" s="97"/>
      <c r="J787" s="98"/>
      <c r="K787" s="101"/>
      <c r="L787" s="124"/>
      <c r="M787" s="333"/>
      <c r="N787" s="341"/>
      <c r="O787" s="82"/>
      <c r="P787" s="93"/>
      <c r="Q787" s="82"/>
      <c r="R787" s="93"/>
      <c r="S787" s="298"/>
      <c r="T787" s="304"/>
      <c r="U787" s="307"/>
      <c r="V787" s="309"/>
      <c r="W787" s="248"/>
      <c r="X787" s="342"/>
      <c r="Y787" s="336"/>
      <c r="Z787" s="123"/>
      <c r="AA787" s="33"/>
      <c r="AB787" s="123"/>
      <c r="AC787" s="33"/>
      <c r="AD787" s="123"/>
      <c r="AE787" s="33"/>
      <c r="AF787" s="123"/>
      <c r="AG787" s="243"/>
      <c r="AH787" s="33"/>
      <c r="AI787" s="245"/>
      <c r="AJ787" s="125"/>
      <c r="AK787" s="91"/>
      <c r="AL787" s="126"/>
      <c r="AM787" s="91"/>
      <c r="AN787" s="91"/>
      <c r="AO787" s="197">
        <f t="shared" si="51"/>
        <v>0</v>
      </c>
      <c r="AP787" s="126"/>
      <c r="AQ787" s="216"/>
      <c r="AR787" s="127"/>
      <c r="AS787" s="269"/>
      <c r="AT787" s="94"/>
      <c r="AU787" s="84"/>
      <c r="AV787" s="80"/>
      <c r="AW787" s="81"/>
      <c r="AX787" s="77"/>
      <c r="AY787" s="107"/>
      <c r="AZ787" s="220">
        <f t="shared" si="48"/>
        <v>0</v>
      </c>
      <c r="BA787" s="220">
        <f t="shared" si="49"/>
        <v>0</v>
      </c>
    </row>
    <row r="788" spans="1:53" ht="50.1" customHeight="1" x14ac:dyDescent="0.25">
      <c r="A788" s="17">
        <f t="shared" si="50"/>
        <v>774</v>
      </c>
      <c r="B788" s="229"/>
      <c r="C788" s="222"/>
      <c r="D788" s="112"/>
      <c r="E788" s="128"/>
      <c r="F788" s="129"/>
      <c r="G788" s="130"/>
      <c r="H788" s="131"/>
      <c r="I788" s="132"/>
      <c r="J788" s="108"/>
      <c r="K788" s="133"/>
      <c r="L788" s="134"/>
      <c r="M788" s="334"/>
      <c r="N788" s="343"/>
      <c r="O788" s="135"/>
      <c r="P788" s="82"/>
      <c r="Q788" s="135"/>
      <c r="R788" s="82"/>
      <c r="S788" s="299"/>
      <c r="T788" s="305"/>
      <c r="U788" s="298"/>
      <c r="V788" s="304"/>
      <c r="W788" s="249"/>
      <c r="X788" s="344"/>
      <c r="Y788" s="337"/>
      <c r="Z788" s="33"/>
      <c r="AA788" s="83"/>
      <c r="AB788" s="33"/>
      <c r="AC788" s="83"/>
      <c r="AD788" s="33"/>
      <c r="AE788" s="83"/>
      <c r="AF788" s="33"/>
      <c r="AG788" s="244"/>
      <c r="AH788" s="83"/>
      <c r="AI788" s="246"/>
      <c r="AJ788" s="102"/>
      <c r="AK788" s="92"/>
      <c r="AL788" s="91"/>
      <c r="AM788" s="92"/>
      <c r="AN788" s="351"/>
      <c r="AO788" s="197">
        <f t="shared" si="51"/>
        <v>0</v>
      </c>
      <c r="AP788" s="91"/>
      <c r="AQ788" s="217"/>
      <c r="AR788" s="103"/>
      <c r="AS788" s="264"/>
      <c r="AT788" s="94"/>
      <c r="AU788" s="84"/>
      <c r="AV788" s="136"/>
      <c r="AW788" s="77"/>
      <c r="AX788" s="137"/>
      <c r="AY788" s="138"/>
      <c r="AZ788" s="220">
        <f t="shared" si="48"/>
        <v>0</v>
      </c>
      <c r="BA788" s="220">
        <f t="shared" si="49"/>
        <v>0</v>
      </c>
    </row>
    <row r="789" spans="1:53" ht="50.1" customHeight="1" x14ac:dyDescent="0.25">
      <c r="A789" s="17">
        <f t="shared" si="50"/>
        <v>775</v>
      </c>
      <c r="B789" s="228"/>
      <c r="C789" s="221"/>
      <c r="D789" s="88"/>
      <c r="E789" s="100"/>
      <c r="F789" s="95"/>
      <c r="G789" s="114"/>
      <c r="H789" s="96"/>
      <c r="I789" s="97"/>
      <c r="J789" s="98"/>
      <c r="K789" s="101"/>
      <c r="L789" s="124"/>
      <c r="M789" s="333"/>
      <c r="N789" s="341"/>
      <c r="O789" s="82"/>
      <c r="P789" s="93"/>
      <c r="Q789" s="82"/>
      <c r="R789" s="93"/>
      <c r="S789" s="298"/>
      <c r="T789" s="304"/>
      <c r="U789" s="307"/>
      <c r="V789" s="309"/>
      <c r="W789" s="248"/>
      <c r="X789" s="342"/>
      <c r="Y789" s="336"/>
      <c r="Z789" s="123"/>
      <c r="AA789" s="33"/>
      <c r="AB789" s="123"/>
      <c r="AC789" s="33"/>
      <c r="AD789" s="123"/>
      <c r="AE789" s="33"/>
      <c r="AF789" s="123"/>
      <c r="AG789" s="243"/>
      <c r="AH789" s="33"/>
      <c r="AI789" s="245"/>
      <c r="AJ789" s="125"/>
      <c r="AK789" s="91"/>
      <c r="AL789" s="126"/>
      <c r="AM789" s="91"/>
      <c r="AN789" s="91"/>
      <c r="AO789" s="197">
        <f t="shared" si="51"/>
        <v>0</v>
      </c>
      <c r="AP789" s="126"/>
      <c r="AQ789" s="216"/>
      <c r="AR789" s="127"/>
      <c r="AS789" s="269"/>
      <c r="AT789" s="94"/>
      <c r="AU789" s="84"/>
      <c r="AV789" s="80"/>
      <c r="AW789" s="81"/>
      <c r="AX789" s="77"/>
      <c r="AY789" s="107"/>
      <c r="AZ789" s="220">
        <f t="shared" si="48"/>
        <v>0</v>
      </c>
      <c r="BA789" s="220">
        <f t="shared" si="49"/>
        <v>0</v>
      </c>
    </row>
    <row r="790" spans="1:53" ht="50.1" customHeight="1" x14ac:dyDescent="0.25">
      <c r="A790" s="17">
        <f t="shared" si="50"/>
        <v>776</v>
      </c>
      <c r="B790" s="229"/>
      <c r="C790" s="222"/>
      <c r="D790" s="112"/>
      <c r="E790" s="128"/>
      <c r="F790" s="129"/>
      <c r="G790" s="130"/>
      <c r="H790" s="131"/>
      <c r="I790" s="132"/>
      <c r="J790" s="108"/>
      <c r="K790" s="133"/>
      <c r="L790" s="134"/>
      <c r="M790" s="334"/>
      <c r="N790" s="343"/>
      <c r="O790" s="135"/>
      <c r="P790" s="82"/>
      <c r="Q790" s="135"/>
      <c r="R790" s="82"/>
      <c r="S790" s="299"/>
      <c r="T790" s="305"/>
      <c r="U790" s="298"/>
      <c r="V790" s="304"/>
      <c r="W790" s="249"/>
      <c r="X790" s="344"/>
      <c r="Y790" s="337"/>
      <c r="Z790" s="33"/>
      <c r="AA790" s="83"/>
      <c r="AB790" s="33"/>
      <c r="AC790" s="83"/>
      <c r="AD790" s="33"/>
      <c r="AE790" s="83"/>
      <c r="AF790" s="33"/>
      <c r="AG790" s="244"/>
      <c r="AH790" s="83"/>
      <c r="AI790" s="246"/>
      <c r="AJ790" s="102"/>
      <c r="AK790" s="92"/>
      <c r="AL790" s="91"/>
      <c r="AM790" s="92"/>
      <c r="AN790" s="351"/>
      <c r="AO790" s="197">
        <f t="shared" si="51"/>
        <v>0</v>
      </c>
      <c r="AP790" s="91"/>
      <c r="AQ790" s="217"/>
      <c r="AR790" s="103"/>
      <c r="AS790" s="264"/>
      <c r="AT790" s="94"/>
      <c r="AU790" s="84"/>
      <c r="AV790" s="136"/>
      <c r="AW790" s="77"/>
      <c r="AX790" s="137"/>
      <c r="AY790" s="138"/>
      <c r="AZ790" s="220">
        <f t="shared" si="48"/>
        <v>0</v>
      </c>
      <c r="BA790" s="220">
        <f t="shared" si="49"/>
        <v>0</v>
      </c>
    </row>
    <row r="791" spans="1:53" ht="50.1" customHeight="1" x14ac:dyDescent="0.25">
      <c r="A791" s="17">
        <f t="shared" si="50"/>
        <v>777</v>
      </c>
      <c r="B791" s="228"/>
      <c r="C791" s="221"/>
      <c r="D791" s="88"/>
      <c r="E791" s="100"/>
      <c r="F791" s="95"/>
      <c r="G791" s="114"/>
      <c r="H791" s="96"/>
      <c r="I791" s="97"/>
      <c r="J791" s="98"/>
      <c r="K791" s="101"/>
      <c r="L791" s="124"/>
      <c r="M791" s="333"/>
      <c r="N791" s="341"/>
      <c r="O791" s="82"/>
      <c r="P791" s="93"/>
      <c r="Q791" s="82"/>
      <c r="R791" s="93"/>
      <c r="S791" s="298"/>
      <c r="T791" s="304"/>
      <c r="U791" s="307"/>
      <c r="V791" s="309"/>
      <c r="W791" s="248"/>
      <c r="X791" s="342"/>
      <c r="Y791" s="336"/>
      <c r="Z791" s="123"/>
      <c r="AA791" s="33"/>
      <c r="AB791" s="123"/>
      <c r="AC791" s="33"/>
      <c r="AD791" s="123"/>
      <c r="AE791" s="33"/>
      <c r="AF791" s="123"/>
      <c r="AG791" s="243"/>
      <c r="AH791" s="33"/>
      <c r="AI791" s="245"/>
      <c r="AJ791" s="125"/>
      <c r="AK791" s="91"/>
      <c r="AL791" s="126"/>
      <c r="AM791" s="91"/>
      <c r="AN791" s="91"/>
      <c r="AO791" s="197">
        <f t="shared" si="51"/>
        <v>0</v>
      </c>
      <c r="AP791" s="126"/>
      <c r="AQ791" s="216"/>
      <c r="AR791" s="127"/>
      <c r="AS791" s="269"/>
      <c r="AT791" s="94"/>
      <c r="AU791" s="84"/>
      <c r="AV791" s="80"/>
      <c r="AW791" s="81"/>
      <c r="AX791" s="77"/>
      <c r="AY791" s="107"/>
      <c r="AZ791" s="220">
        <f t="shared" si="48"/>
        <v>0</v>
      </c>
      <c r="BA791" s="220">
        <f t="shared" si="49"/>
        <v>0</v>
      </c>
    </row>
    <row r="792" spans="1:53" ht="50.1" customHeight="1" x14ac:dyDescent="0.25">
      <c r="A792" s="17">
        <f t="shared" si="50"/>
        <v>778</v>
      </c>
      <c r="B792" s="229"/>
      <c r="C792" s="222"/>
      <c r="D792" s="112"/>
      <c r="E792" s="128"/>
      <c r="F792" s="129"/>
      <c r="G792" s="130"/>
      <c r="H792" s="131"/>
      <c r="I792" s="132"/>
      <c r="J792" s="108"/>
      <c r="K792" s="133"/>
      <c r="L792" s="134"/>
      <c r="M792" s="334"/>
      <c r="N792" s="343"/>
      <c r="O792" s="135"/>
      <c r="P792" s="82"/>
      <c r="Q792" s="135"/>
      <c r="R792" s="82"/>
      <c r="S792" s="299"/>
      <c r="T792" s="305"/>
      <c r="U792" s="298"/>
      <c r="V792" s="304"/>
      <c r="W792" s="249"/>
      <c r="X792" s="344"/>
      <c r="Y792" s="337"/>
      <c r="Z792" s="33"/>
      <c r="AA792" s="83"/>
      <c r="AB792" s="33"/>
      <c r="AC792" s="83"/>
      <c r="AD792" s="33"/>
      <c r="AE792" s="83"/>
      <c r="AF792" s="33"/>
      <c r="AG792" s="244"/>
      <c r="AH792" s="83"/>
      <c r="AI792" s="246"/>
      <c r="AJ792" s="102"/>
      <c r="AK792" s="92"/>
      <c r="AL792" s="91"/>
      <c r="AM792" s="92"/>
      <c r="AN792" s="351"/>
      <c r="AO792" s="197">
        <f t="shared" si="51"/>
        <v>0</v>
      </c>
      <c r="AP792" s="91"/>
      <c r="AQ792" s="217"/>
      <c r="AR792" s="103"/>
      <c r="AS792" s="264"/>
      <c r="AT792" s="94"/>
      <c r="AU792" s="84"/>
      <c r="AV792" s="136"/>
      <c r="AW792" s="77"/>
      <c r="AX792" s="137"/>
      <c r="AY792" s="138"/>
      <c r="AZ792" s="220">
        <f t="shared" si="48"/>
        <v>0</v>
      </c>
      <c r="BA792" s="220">
        <f t="shared" si="49"/>
        <v>0</v>
      </c>
    </row>
    <row r="793" spans="1:53" ht="50.1" customHeight="1" x14ac:dyDescent="0.25">
      <c r="A793" s="17">
        <f t="shared" si="50"/>
        <v>779</v>
      </c>
      <c r="B793" s="228"/>
      <c r="C793" s="221"/>
      <c r="D793" s="88"/>
      <c r="E793" s="100"/>
      <c r="F793" s="95"/>
      <c r="G793" s="114"/>
      <c r="H793" s="96"/>
      <c r="I793" s="97"/>
      <c r="J793" s="98"/>
      <c r="K793" s="101"/>
      <c r="L793" s="124"/>
      <c r="M793" s="333"/>
      <c r="N793" s="341"/>
      <c r="O793" s="82"/>
      <c r="P793" s="93"/>
      <c r="Q793" s="82"/>
      <c r="R793" s="93"/>
      <c r="S793" s="298"/>
      <c r="T793" s="304"/>
      <c r="U793" s="307"/>
      <c r="V793" s="309"/>
      <c r="W793" s="248"/>
      <c r="X793" s="342"/>
      <c r="Y793" s="336"/>
      <c r="Z793" s="123"/>
      <c r="AA793" s="33"/>
      <c r="AB793" s="123"/>
      <c r="AC793" s="33"/>
      <c r="AD793" s="123"/>
      <c r="AE793" s="33"/>
      <c r="AF793" s="123"/>
      <c r="AG793" s="243"/>
      <c r="AH793" s="33"/>
      <c r="AI793" s="245"/>
      <c r="AJ793" s="125"/>
      <c r="AK793" s="91"/>
      <c r="AL793" s="126"/>
      <c r="AM793" s="91"/>
      <c r="AN793" s="91"/>
      <c r="AO793" s="197">
        <f t="shared" si="51"/>
        <v>0</v>
      </c>
      <c r="AP793" s="126"/>
      <c r="AQ793" s="216"/>
      <c r="AR793" s="127"/>
      <c r="AS793" s="269"/>
      <c r="AT793" s="94"/>
      <c r="AU793" s="84"/>
      <c r="AV793" s="80"/>
      <c r="AW793" s="81"/>
      <c r="AX793" s="77"/>
      <c r="AY793" s="107"/>
      <c r="AZ793" s="220">
        <f t="shared" si="48"/>
        <v>0</v>
      </c>
      <c r="BA793" s="220">
        <f t="shared" si="49"/>
        <v>0</v>
      </c>
    </row>
    <row r="794" spans="1:53" ht="50.1" customHeight="1" x14ac:dyDescent="0.25">
      <c r="A794" s="17">
        <f t="shared" si="50"/>
        <v>780</v>
      </c>
      <c r="B794" s="229"/>
      <c r="C794" s="222"/>
      <c r="D794" s="112"/>
      <c r="E794" s="128"/>
      <c r="F794" s="129"/>
      <c r="G794" s="130"/>
      <c r="H794" s="131"/>
      <c r="I794" s="132"/>
      <c r="J794" s="108"/>
      <c r="K794" s="133"/>
      <c r="L794" s="134"/>
      <c r="M794" s="334"/>
      <c r="N794" s="343"/>
      <c r="O794" s="135"/>
      <c r="P794" s="82"/>
      <c r="Q794" s="135"/>
      <c r="R794" s="82"/>
      <c r="S794" s="299"/>
      <c r="T794" s="305"/>
      <c r="U794" s="298"/>
      <c r="V794" s="304"/>
      <c r="W794" s="249"/>
      <c r="X794" s="344"/>
      <c r="Y794" s="337"/>
      <c r="Z794" s="33"/>
      <c r="AA794" s="83"/>
      <c r="AB794" s="33"/>
      <c r="AC794" s="83"/>
      <c r="AD794" s="33"/>
      <c r="AE794" s="83"/>
      <c r="AF794" s="33"/>
      <c r="AG794" s="244"/>
      <c r="AH794" s="83"/>
      <c r="AI794" s="246"/>
      <c r="AJ794" s="102"/>
      <c r="AK794" s="92"/>
      <c r="AL794" s="91"/>
      <c r="AM794" s="92"/>
      <c r="AN794" s="351"/>
      <c r="AO794" s="197">
        <f t="shared" si="51"/>
        <v>0</v>
      </c>
      <c r="AP794" s="91"/>
      <c r="AQ794" s="217"/>
      <c r="AR794" s="103"/>
      <c r="AS794" s="264"/>
      <c r="AT794" s="94"/>
      <c r="AU794" s="84"/>
      <c r="AV794" s="136"/>
      <c r="AW794" s="77"/>
      <c r="AX794" s="137"/>
      <c r="AY794" s="138"/>
      <c r="AZ794" s="220">
        <f t="shared" si="48"/>
        <v>0</v>
      </c>
      <c r="BA794" s="220">
        <f t="shared" si="49"/>
        <v>0</v>
      </c>
    </row>
    <row r="795" spans="1:53" ht="50.1" customHeight="1" x14ac:dyDescent="0.25">
      <c r="A795" s="17">
        <f t="shared" si="50"/>
        <v>781</v>
      </c>
      <c r="B795" s="228"/>
      <c r="C795" s="221"/>
      <c r="D795" s="88"/>
      <c r="E795" s="100"/>
      <c r="F795" s="95"/>
      <c r="G795" s="114"/>
      <c r="H795" s="96"/>
      <c r="I795" s="97"/>
      <c r="J795" s="98"/>
      <c r="K795" s="101"/>
      <c r="L795" s="124"/>
      <c r="M795" s="333"/>
      <c r="N795" s="341"/>
      <c r="O795" s="82"/>
      <c r="P795" s="93"/>
      <c r="Q795" s="82"/>
      <c r="R795" s="93"/>
      <c r="S795" s="298"/>
      <c r="T795" s="304"/>
      <c r="U795" s="307"/>
      <c r="V795" s="309"/>
      <c r="W795" s="248"/>
      <c r="X795" s="342"/>
      <c r="Y795" s="336"/>
      <c r="Z795" s="123"/>
      <c r="AA795" s="33"/>
      <c r="AB795" s="123"/>
      <c r="AC795" s="33"/>
      <c r="AD795" s="123"/>
      <c r="AE795" s="33"/>
      <c r="AF795" s="123"/>
      <c r="AG795" s="243"/>
      <c r="AH795" s="33"/>
      <c r="AI795" s="245"/>
      <c r="AJ795" s="125"/>
      <c r="AK795" s="91"/>
      <c r="AL795" s="126"/>
      <c r="AM795" s="91"/>
      <c r="AN795" s="91"/>
      <c r="AO795" s="197">
        <f t="shared" si="51"/>
        <v>0</v>
      </c>
      <c r="AP795" s="126"/>
      <c r="AQ795" s="216"/>
      <c r="AR795" s="127"/>
      <c r="AS795" s="269"/>
      <c r="AT795" s="94"/>
      <c r="AU795" s="84"/>
      <c r="AV795" s="80"/>
      <c r="AW795" s="81"/>
      <c r="AX795" s="77"/>
      <c r="AY795" s="107"/>
      <c r="AZ795" s="220">
        <f t="shared" si="48"/>
        <v>0</v>
      </c>
      <c r="BA795" s="220">
        <f t="shared" si="49"/>
        <v>0</v>
      </c>
    </row>
    <row r="796" spans="1:53" ht="50.1" customHeight="1" x14ac:dyDescent="0.25">
      <c r="A796" s="17">
        <f t="shared" si="50"/>
        <v>782</v>
      </c>
      <c r="B796" s="229"/>
      <c r="C796" s="222"/>
      <c r="D796" s="112"/>
      <c r="E796" s="128"/>
      <c r="F796" s="129"/>
      <c r="G796" s="130"/>
      <c r="H796" s="131"/>
      <c r="I796" s="132"/>
      <c r="J796" s="108"/>
      <c r="K796" s="133"/>
      <c r="L796" s="134"/>
      <c r="M796" s="334"/>
      <c r="N796" s="343"/>
      <c r="O796" s="135"/>
      <c r="P796" s="82"/>
      <c r="Q796" s="135"/>
      <c r="R796" s="82"/>
      <c r="S796" s="299"/>
      <c r="T796" s="305"/>
      <c r="U796" s="298"/>
      <c r="V796" s="304"/>
      <c r="W796" s="249"/>
      <c r="X796" s="344"/>
      <c r="Y796" s="337"/>
      <c r="Z796" s="33"/>
      <c r="AA796" s="83"/>
      <c r="AB796" s="33"/>
      <c r="AC796" s="83"/>
      <c r="AD796" s="33"/>
      <c r="AE796" s="83"/>
      <c r="AF796" s="33"/>
      <c r="AG796" s="244"/>
      <c r="AH796" s="83"/>
      <c r="AI796" s="246"/>
      <c r="AJ796" s="102"/>
      <c r="AK796" s="92"/>
      <c r="AL796" s="91"/>
      <c r="AM796" s="92"/>
      <c r="AN796" s="351"/>
      <c r="AO796" s="197">
        <f t="shared" si="51"/>
        <v>0</v>
      </c>
      <c r="AP796" s="91"/>
      <c r="AQ796" s="217"/>
      <c r="AR796" s="103"/>
      <c r="AS796" s="264"/>
      <c r="AT796" s="94"/>
      <c r="AU796" s="84"/>
      <c r="AV796" s="136"/>
      <c r="AW796" s="77"/>
      <c r="AX796" s="137"/>
      <c r="AY796" s="138"/>
      <c r="AZ796" s="220">
        <f t="shared" si="48"/>
        <v>0</v>
      </c>
      <c r="BA796" s="220">
        <f t="shared" si="49"/>
        <v>0</v>
      </c>
    </row>
    <row r="797" spans="1:53" ht="50.1" customHeight="1" x14ac:dyDescent="0.25">
      <c r="A797" s="17">
        <f t="shared" si="50"/>
        <v>783</v>
      </c>
      <c r="B797" s="228"/>
      <c r="C797" s="221"/>
      <c r="D797" s="88"/>
      <c r="E797" s="100"/>
      <c r="F797" s="95"/>
      <c r="G797" s="114"/>
      <c r="H797" s="96"/>
      <c r="I797" s="97"/>
      <c r="J797" s="98"/>
      <c r="K797" s="101"/>
      <c r="L797" s="124"/>
      <c r="M797" s="333"/>
      <c r="N797" s="341"/>
      <c r="O797" s="82"/>
      <c r="P797" s="93"/>
      <c r="Q797" s="82"/>
      <c r="R797" s="93"/>
      <c r="S797" s="298"/>
      <c r="T797" s="304"/>
      <c r="U797" s="307"/>
      <c r="V797" s="309"/>
      <c r="W797" s="248"/>
      <c r="X797" s="342"/>
      <c r="Y797" s="336"/>
      <c r="Z797" s="123"/>
      <c r="AA797" s="33"/>
      <c r="AB797" s="123"/>
      <c r="AC797" s="33"/>
      <c r="AD797" s="123"/>
      <c r="AE797" s="33"/>
      <c r="AF797" s="123"/>
      <c r="AG797" s="243"/>
      <c r="AH797" s="33"/>
      <c r="AI797" s="245"/>
      <c r="AJ797" s="125"/>
      <c r="AK797" s="91"/>
      <c r="AL797" s="126"/>
      <c r="AM797" s="91"/>
      <c r="AN797" s="91"/>
      <c r="AO797" s="197">
        <f t="shared" si="51"/>
        <v>0</v>
      </c>
      <c r="AP797" s="126"/>
      <c r="AQ797" s="216"/>
      <c r="AR797" s="127"/>
      <c r="AS797" s="269"/>
      <c r="AT797" s="94"/>
      <c r="AU797" s="84"/>
      <c r="AV797" s="80"/>
      <c r="AW797" s="81"/>
      <c r="AX797" s="77"/>
      <c r="AY797" s="107"/>
      <c r="AZ797" s="220">
        <f t="shared" si="48"/>
        <v>0</v>
      </c>
      <c r="BA797" s="220">
        <f t="shared" si="49"/>
        <v>0</v>
      </c>
    </row>
    <row r="798" spans="1:53" ht="50.1" customHeight="1" x14ac:dyDescent="0.25">
      <c r="A798" s="17">
        <f t="shared" si="50"/>
        <v>784</v>
      </c>
      <c r="B798" s="229"/>
      <c r="C798" s="222"/>
      <c r="D798" s="112"/>
      <c r="E798" s="128"/>
      <c r="F798" s="129"/>
      <c r="G798" s="130"/>
      <c r="H798" s="131"/>
      <c r="I798" s="132"/>
      <c r="J798" s="108"/>
      <c r="K798" s="133"/>
      <c r="L798" s="134"/>
      <c r="M798" s="334"/>
      <c r="N798" s="343"/>
      <c r="O798" s="135"/>
      <c r="P798" s="82"/>
      <c r="Q798" s="135"/>
      <c r="R798" s="82"/>
      <c r="S798" s="299"/>
      <c r="T798" s="305"/>
      <c r="U798" s="298"/>
      <c r="V798" s="304"/>
      <c r="W798" s="249"/>
      <c r="X798" s="344"/>
      <c r="Y798" s="337"/>
      <c r="Z798" s="33"/>
      <c r="AA798" s="83"/>
      <c r="AB798" s="33"/>
      <c r="AC798" s="83"/>
      <c r="AD798" s="33"/>
      <c r="AE798" s="83"/>
      <c r="AF798" s="33"/>
      <c r="AG798" s="244"/>
      <c r="AH798" s="83"/>
      <c r="AI798" s="246"/>
      <c r="AJ798" s="102"/>
      <c r="AK798" s="92"/>
      <c r="AL798" s="91"/>
      <c r="AM798" s="92"/>
      <c r="AN798" s="351"/>
      <c r="AO798" s="197">
        <f t="shared" si="51"/>
        <v>0</v>
      </c>
      <c r="AP798" s="91"/>
      <c r="AQ798" s="217"/>
      <c r="AR798" s="103"/>
      <c r="AS798" s="264"/>
      <c r="AT798" s="94"/>
      <c r="AU798" s="84"/>
      <c r="AV798" s="136"/>
      <c r="AW798" s="77"/>
      <c r="AX798" s="137"/>
      <c r="AY798" s="138"/>
      <c r="AZ798" s="220">
        <f t="shared" si="48"/>
        <v>0</v>
      </c>
      <c r="BA798" s="220">
        <f t="shared" si="49"/>
        <v>0</v>
      </c>
    </row>
    <row r="799" spans="1:53" ht="50.1" customHeight="1" x14ac:dyDescent="0.25">
      <c r="A799" s="17">
        <f t="shared" si="50"/>
        <v>785</v>
      </c>
      <c r="B799" s="228"/>
      <c r="C799" s="221"/>
      <c r="D799" s="88"/>
      <c r="E799" s="100"/>
      <c r="F799" s="95"/>
      <c r="G799" s="114"/>
      <c r="H799" s="96"/>
      <c r="I799" s="97"/>
      <c r="J799" s="98"/>
      <c r="K799" s="101"/>
      <c r="L799" s="124"/>
      <c r="M799" s="333"/>
      <c r="N799" s="341"/>
      <c r="O799" s="82"/>
      <c r="P799" s="93"/>
      <c r="Q799" s="82"/>
      <c r="R799" s="93"/>
      <c r="S799" s="298"/>
      <c r="T799" s="304"/>
      <c r="U799" s="307"/>
      <c r="V799" s="309"/>
      <c r="W799" s="248"/>
      <c r="X799" s="342"/>
      <c r="Y799" s="336"/>
      <c r="Z799" s="123"/>
      <c r="AA799" s="33"/>
      <c r="AB799" s="123"/>
      <c r="AC799" s="33"/>
      <c r="AD799" s="123"/>
      <c r="AE799" s="33"/>
      <c r="AF799" s="123"/>
      <c r="AG799" s="243"/>
      <c r="AH799" s="33"/>
      <c r="AI799" s="245"/>
      <c r="AJ799" s="125"/>
      <c r="AK799" s="91"/>
      <c r="AL799" s="126"/>
      <c r="AM799" s="91"/>
      <c r="AN799" s="91"/>
      <c r="AO799" s="197">
        <f t="shared" si="51"/>
        <v>0</v>
      </c>
      <c r="AP799" s="126"/>
      <c r="AQ799" s="216"/>
      <c r="AR799" s="127"/>
      <c r="AS799" s="269"/>
      <c r="AT799" s="94"/>
      <c r="AU799" s="84"/>
      <c r="AV799" s="80"/>
      <c r="AW799" s="81"/>
      <c r="AX799" s="77"/>
      <c r="AY799" s="107"/>
      <c r="AZ799" s="220">
        <f t="shared" si="48"/>
        <v>0</v>
      </c>
      <c r="BA799" s="220">
        <f t="shared" si="49"/>
        <v>0</v>
      </c>
    </row>
    <row r="800" spans="1:53" ht="50.1" customHeight="1" x14ac:dyDescent="0.25">
      <c r="A800" s="17">
        <f t="shared" si="50"/>
        <v>786</v>
      </c>
      <c r="B800" s="229"/>
      <c r="C800" s="222"/>
      <c r="D800" s="112"/>
      <c r="E800" s="128"/>
      <c r="F800" s="129"/>
      <c r="G800" s="130"/>
      <c r="H800" s="131"/>
      <c r="I800" s="132"/>
      <c r="J800" s="108"/>
      <c r="K800" s="133"/>
      <c r="L800" s="134"/>
      <c r="M800" s="334"/>
      <c r="N800" s="343"/>
      <c r="O800" s="135"/>
      <c r="P800" s="82"/>
      <c r="Q800" s="135"/>
      <c r="R800" s="82"/>
      <c r="S800" s="299"/>
      <c r="T800" s="305"/>
      <c r="U800" s="298"/>
      <c r="V800" s="304"/>
      <c r="W800" s="249"/>
      <c r="X800" s="344"/>
      <c r="Y800" s="337"/>
      <c r="Z800" s="33"/>
      <c r="AA800" s="83"/>
      <c r="AB800" s="33"/>
      <c r="AC800" s="83"/>
      <c r="AD800" s="33"/>
      <c r="AE800" s="83"/>
      <c r="AF800" s="33"/>
      <c r="AG800" s="244"/>
      <c r="AH800" s="83"/>
      <c r="AI800" s="246"/>
      <c r="AJ800" s="102"/>
      <c r="AK800" s="92"/>
      <c r="AL800" s="91"/>
      <c r="AM800" s="92"/>
      <c r="AN800" s="351"/>
      <c r="AO800" s="197">
        <f t="shared" si="51"/>
        <v>0</v>
      </c>
      <c r="AP800" s="91"/>
      <c r="AQ800" s="217"/>
      <c r="AR800" s="103"/>
      <c r="AS800" s="264"/>
      <c r="AT800" s="94"/>
      <c r="AU800" s="84"/>
      <c r="AV800" s="136"/>
      <c r="AW800" s="77"/>
      <c r="AX800" s="137"/>
      <c r="AY800" s="138"/>
      <c r="AZ800" s="220">
        <f t="shared" si="48"/>
        <v>0</v>
      </c>
      <c r="BA800" s="220">
        <f t="shared" si="49"/>
        <v>0</v>
      </c>
    </row>
    <row r="801" spans="1:53" ht="50.1" customHeight="1" x14ac:dyDescent="0.25">
      <c r="A801" s="17">
        <f t="shared" si="50"/>
        <v>787</v>
      </c>
      <c r="B801" s="228"/>
      <c r="C801" s="221"/>
      <c r="D801" s="88"/>
      <c r="E801" s="100"/>
      <c r="F801" s="95"/>
      <c r="G801" s="114"/>
      <c r="H801" s="96"/>
      <c r="I801" s="97"/>
      <c r="J801" s="98"/>
      <c r="K801" s="101"/>
      <c r="L801" s="124"/>
      <c r="M801" s="333"/>
      <c r="N801" s="341"/>
      <c r="O801" s="82"/>
      <c r="P801" s="93"/>
      <c r="Q801" s="82"/>
      <c r="R801" s="93"/>
      <c r="S801" s="298"/>
      <c r="T801" s="304"/>
      <c r="U801" s="307"/>
      <c r="V801" s="309"/>
      <c r="W801" s="248"/>
      <c r="X801" s="342"/>
      <c r="Y801" s="336"/>
      <c r="Z801" s="123"/>
      <c r="AA801" s="33"/>
      <c r="AB801" s="123"/>
      <c r="AC801" s="33"/>
      <c r="AD801" s="123"/>
      <c r="AE801" s="33"/>
      <c r="AF801" s="123"/>
      <c r="AG801" s="243"/>
      <c r="AH801" s="33"/>
      <c r="AI801" s="245"/>
      <c r="AJ801" s="125"/>
      <c r="AK801" s="91"/>
      <c r="AL801" s="126"/>
      <c r="AM801" s="91"/>
      <c r="AN801" s="91"/>
      <c r="AO801" s="197">
        <f t="shared" si="51"/>
        <v>0</v>
      </c>
      <c r="AP801" s="126"/>
      <c r="AQ801" s="216"/>
      <c r="AR801" s="127"/>
      <c r="AS801" s="269"/>
      <c r="AT801" s="94"/>
      <c r="AU801" s="84"/>
      <c r="AV801" s="80"/>
      <c r="AW801" s="81"/>
      <c r="AX801" s="77"/>
      <c r="AY801" s="107"/>
      <c r="AZ801" s="220">
        <f t="shared" si="48"/>
        <v>0</v>
      </c>
      <c r="BA801" s="220">
        <f t="shared" si="49"/>
        <v>0</v>
      </c>
    </row>
    <row r="802" spans="1:53" ht="50.1" customHeight="1" x14ac:dyDescent="0.25">
      <c r="A802" s="17">
        <f t="shared" si="50"/>
        <v>788</v>
      </c>
      <c r="B802" s="229"/>
      <c r="C802" s="222"/>
      <c r="D802" s="112"/>
      <c r="E802" s="128"/>
      <c r="F802" s="129"/>
      <c r="G802" s="130"/>
      <c r="H802" s="131"/>
      <c r="I802" s="132"/>
      <c r="J802" s="108"/>
      <c r="K802" s="133"/>
      <c r="L802" s="134"/>
      <c r="M802" s="334"/>
      <c r="N802" s="343"/>
      <c r="O802" s="135"/>
      <c r="P802" s="82"/>
      <c r="Q802" s="135"/>
      <c r="R802" s="82"/>
      <c r="S802" s="299"/>
      <c r="T802" s="305"/>
      <c r="U802" s="298"/>
      <c r="V802" s="304"/>
      <c r="W802" s="249"/>
      <c r="X802" s="344"/>
      <c r="Y802" s="337"/>
      <c r="Z802" s="33"/>
      <c r="AA802" s="83"/>
      <c r="AB802" s="33"/>
      <c r="AC802" s="83"/>
      <c r="AD802" s="33"/>
      <c r="AE802" s="83"/>
      <c r="AF802" s="33"/>
      <c r="AG802" s="244"/>
      <c r="AH802" s="83"/>
      <c r="AI802" s="246"/>
      <c r="AJ802" s="102"/>
      <c r="AK802" s="92"/>
      <c r="AL802" s="91"/>
      <c r="AM802" s="92"/>
      <c r="AN802" s="351"/>
      <c r="AO802" s="197">
        <f t="shared" si="51"/>
        <v>0</v>
      </c>
      <c r="AP802" s="91"/>
      <c r="AQ802" s="217"/>
      <c r="AR802" s="103"/>
      <c r="AS802" s="264"/>
      <c r="AT802" s="94"/>
      <c r="AU802" s="84"/>
      <c r="AV802" s="136"/>
      <c r="AW802" s="77"/>
      <c r="AX802" s="137"/>
      <c r="AY802" s="138"/>
      <c r="AZ802" s="220">
        <f t="shared" si="48"/>
        <v>0</v>
      </c>
      <c r="BA802" s="220">
        <f t="shared" si="49"/>
        <v>0</v>
      </c>
    </row>
    <row r="803" spans="1:53" ht="50.1" customHeight="1" x14ac:dyDescent="0.25">
      <c r="A803" s="17">
        <f t="shared" si="50"/>
        <v>789</v>
      </c>
      <c r="B803" s="228"/>
      <c r="C803" s="221"/>
      <c r="D803" s="88"/>
      <c r="E803" s="100"/>
      <c r="F803" s="95"/>
      <c r="G803" s="114"/>
      <c r="H803" s="96"/>
      <c r="I803" s="97"/>
      <c r="J803" s="98"/>
      <c r="K803" s="101"/>
      <c r="L803" s="124"/>
      <c r="M803" s="333"/>
      <c r="N803" s="346"/>
      <c r="O803" s="82"/>
      <c r="P803" s="93"/>
      <c r="Q803" s="82"/>
      <c r="R803" s="93"/>
      <c r="S803" s="298"/>
      <c r="T803" s="304"/>
      <c r="U803" s="307"/>
      <c r="V803" s="309"/>
      <c r="W803" s="248"/>
      <c r="X803" s="342"/>
      <c r="Y803" s="336"/>
      <c r="Z803" s="123"/>
      <c r="AA803" s="33"/>
      <c r="AB803" s="123"/>
      <c r="AC803" s="33"/>
      <c r="AD803" s="123"/>
      <c r="AE803" s="33"/>
      <c r="AF803" s="123"/>
      <c r="AG803" s="243"/>
      <c r="AH803" s="33"/>
      <c r="AI803" s="245"/>
      <c r="AJ803" s="125"/>
      <c r="AK803" s="91"/>
      <c r="AL803" s="126"/>
      <c r="AM803" s="91"/>
      <c r="AN803" s="91"/>
      <c r="AO803" s="197">
        <f t="shared" si="51"/>
        <v>0</v>
      </c>
      <c r="AP803" s="126"/>
      <c r="AQ803" s="216"/>
      <c r="AR803" s="127"/>
      <c r="AS803" s="269"/>
      <c r="AT803" s="94"/>
      <c r="AU803" s="84"/>
      <c r="AV803" s="80"/>
      <c r="AW803" s="81"/>
      <c r="AX803" s="77"/>
      <c r="AY803" s="107"/>
      <c r="AZ803" s="220">
        <f t="shared" si="48"/>
        <v>0</v>
      </c>
      <c r="BA803" s="220">
        <f t="shared" si="49"/>
        <v>0</v>
      </c>
    </row>
    <row r="804" spans="1:53" ht="50.1" customHeight="1" x14ac:dyDescent="0.25">
      <c r="A804" s="17">
        <f t="shared" si="50"/>
        <v>790</v>
      </c>
      <c r="B804" s="229"/>
      <c r="C804" s="222"/>
      <c r="D804" s="112"/>
      <c r="E804" s="128"/>
      <c r="F804" s="129"/>
      <c r="G804" s="130"/>
      <c r="H804" s="131"/>
      <c r="I804" s="132"/>
      <c r="J804" s="108"/>
      <c r="K804" s="133"/>
      <c r="L804" s="134"/>
      <c r="M804" s="334"/>
      <c r="N804" s="343"/>
      <c r="O804" s="135"/>
      <c r="P804" s="82"/>
      <c r="Q804" s="135"/>
      <c r="R804" s="82"/>
      <c r="S804" s="299"/>
      <c r="T804" s="305"/>
      <c r="U804" s="298"/>
      <c r="V804" s="304"/>
      <c r="W804" s="249"/>
      <c r="X804" s="344"/>
      <c r="Y804" s="337"/>
      <c r="Z804" s="33"/>
      <c r="AA804" s="83"/>
      <c r="AB804" s="33"/>
      <c r="AC804" s="83"/>
      <c r="AD804" s="33"/>
      <c r="AE804" s="83"/>
      <c r="AF804" s="33"/>
      <c r="AG804" s="244"/>
      <c r="AH804" s="83"/>
      <c r="AI804" s="246"/>
      <c r="AJ804" s="102"/>
      <c r="AK804" s="92"/>
      <c r="AL804" s="91"/>
      <c r="AM804" s="92"/>
      <c r="AN804" s="351"/>
      <c r="AO804" s="197">
        <f t="shared" si="51"/>
        <v>0</v>
      </c>
      <c r="AP804" s="91"/>
      <c r="AQ804" s="217"/>
      <c r="AR804" s="103"/>
      <c r="AS804" s="264"/>
      <c r="AT804" s="94"/>
      <c r="AU804" s="84"/>
      <c r="AV804" s="136"/>
      <c r="AW804" s="77"/>
      <c r="AX804" s="137"/>
      <c r="AY804" s="138"/>
      <c r="AZ804" s="220">
        <f t="shared" si="48"/>
        <v>0</v>
      </c>
      <c r="BA804" s="220">
        <f t="shared" si="49"/>
        <v>0</v>
      </c>
    </row>
    <row r="805" spans="1:53" ht="50.1" customHeight="1" x14ac:dyDescent="0.25">
      <c r="A805" s="17">
        <f t="shared" si="50"/>
        <v>791</v>
      </c>
      <c r="B805" s="228"/>
      <c r="C805" s="221"/>
      <c r="D805" s="88"/>
      <c r="E805" s="100"/>
      <c r="F805" s="95"/>
      <c r="G805" s="114"/>
      <c r="H805" s="96"/>
      <c r="I805" s="97"/>
      <c r="J805" s="98"/>
      <c r="K805" s="101"/>
      <c r="L805" s="124"/>
      <c r="M805" s="333"/>
      <c r="N805" s="346"/>
      <c r="O805" s="82"/>
      <c r="P805" s="93"/>
      <c r="Q805" s="82"/>
      <c r="R805" s="93"/>
      <c r="S805" s="298"/>
      <c r="T805" s="304"/>
      <c r="U805" s="307"/>
      <c r="V805" s="309"/>
      <c r="W805" s="248"/>
      <c r="X805" s="342"/>
      <c r="Y805" s="336"/>
      <c r="Z805" s="123"/>
      <c r="AA805" s="33"/>
      <c r="AB805" s="123"/>
      <c r="AC805" s="33"/>
      <c r="AD805" s="123"/>
      <c r="AE805" s="33"/>
      <c r="AF805" s="123"/>
      <c r="AG805" s="243"/>
      <c r="AH805" s="33"/>
      <c r="AI805" s="245"/>
      <c r="AJ805" s="125"/>
      <c r="AK805" s="91"/>
      <c r="AL805" s="126"/>
      <c r="AM805" s="91"/>
      <c r="AN805" s="91"/>
      <c r="AO805" s="197">
        <f t="shared" si="51"/>
        <v>0</v>
      </c>
      <c r="AP805" s="126"/>
      <c r="AQ805" s="216"/>
      <c r="AR805" s="127"/>
      <c r="AS805" s="269"/>
      <c r="AT805" s="94"/>
      <c r="AU805" s="84"/>
      <c r="AV805" s="80"/>
      <c r="AW805" s="81"/>
      <c r="AX805" s="77"/>
      <c r="AY805" s="107"/>
      <c r="AZ805" s="220">
        <f t="shared" si="48"/>
        <v>0</v>
      </c>
      <c r="BA805" s="220">
        <f t="shared" si="49"/>
        <v>0</v>
      </c>
    </row>
    <row r="806" spans="1:53" ht="50.1" customHeight="1" x14ac:dyDescent="0.25">
      <c r="A806" s="17">
        <f t="shared" si="50"/>
        <v>792</v>
      </c>
      <c r="B806" s="229"/>
      <c r="C806" s="222"/>
      <c r="D806" s="112"/>
      <c r="E806" s="128"/>
      <c r="F806" s="129"/>
      <c r="G806" s="130"/>
      <c r="H806" s="131"/>
      <c r="I806" s="132"/>
      <c r="J806" s="108"/>
      <c r="K806" s="133"/>
      <c r="L806" s="134"/>
      <c r="M806" s="334"/>
      <c r="N806" s="343"/>
      <c r="O806" s="135"/>
      <c r="P806" s="82"/>
      <c r="Q806" s="135"/>
      <c r="R806" s="82"/>
      <c r="S806" s="299"/>
      <c r="T806" s="305"/>
      <c r="U806" s="298"/>
      <c r="V806" s="304"/>
      <c r="W806" s="249"/>
      <c r="X806" s="344"/>
      <c r="Y806" s="337"/>
      <c r="Z806" s="33"/>
      <c r="AA806" s="83"/>
      <c r="AB806" s="33"/>
      <c r="AC806" s="83"/>
      <c r="AD806" s="33"/>
      <c r="AE806" s="83"/>
      <c r="AF806" s="33"/>
      <c r="AG806" s="244"/>
      <c r="AH806" s="83"/>
      <c r="AI806" s="246"/>
      <c r="AJ806" s="102"/>
      <c r="AK806" s="92"/>
      <c r="AL806" s="91"/>
      <c r="AM806" s="92"/>
      <c r="AN806" s="351"/>
      <c r="AO806" s="197">
        <f t="shared" si="51"/>
        <v>0</v>
      </c>
      <c r="AP806" s="91"/>
      <c r="AQ806" s="217"/>
      <c r="AR806" s="103"/>
      <c r="AS806" s="264"/>
      <c r="AT806" s="94"/>
      <c r="AU806" s="84"/>
      <c r="AV806" s="136"/>
      <c r="AW806" s="77"/>
      <c r="AX806" s="137"/>
      <c r="AY806" s="138"/>
      <c r="AZ806" s="220">
        <f t="shared" si="48"/>
        <v>0</v>
      </c>
      <c r="BA806" s="220">
        <f t="shared" si="49"/>
        <v>0</v>
      </c>
    </row>
    <row r="807" spans="1:53" ht="50.1" customHeight="1" x14ac:dyDescent="0.25">
      <c r="A807" s="17">
        <f t="shared" si="50"/>
        <v>793</v>
      </c>
      <c r="B807" s="228"/>
      <c r="C807" s="221"/>
      <c r="D807" s="88"/>
      <c r="E807" s="100"/>
      <c r="F807" s="95"/>
      <c r="G807" s="114"/>
      <c r="H807" s="96"/>
      <c r="I807" s="97"/>
      <c r="J807" s="98"/>
      <c r="K807" s="101"/>
      <c r="L807" s="124"/>
      <c r="M807" s="333"/>
      <c r="N807" s="341"/>
      <c r="O807" s="82"/>
      <c r="P807" s="93"/>
      <c r="Q807" s="82"/>
      <c r="R807" s="93"/>
      <c r="S807" s="298"/>
      <c r="T807" s="304"/>
      <c r="U807" s="307"/>
      <c r="V807" s="309"/>
      <c r="W807" s="248"/>
      <c r="X807" s="342"/>
      <c r="Y807" s="336"/>
      <c r="Z807" s="123"/>
      <c r="AA807" s="33"/>
      <c r="AB807" s="123"/>
      <c r="AC807" s="33"/>
      <c r="AD807" s="123"/>
      <c r="AE807" s="33"/>
      <c r="AF807" s="123"/>
      <c r="AG807" s="243"/>
      <c r="AH807" s="33"/>
      <c r="AI807" s="245"/>
      <c r="AJ807" s="125"/>
      <c r="AK807" s="91"/>
      <c r="AL807" s="126"/>
      <c r="AM807" s="91"/>
      <c r="AN807" s="91"/>
      <c r="AO807" s="197">
        <f t="shared" si="51"/>
        <v>0</v>
      </c>
      <c r="AP807" s="126"/>
      <c r="AQ807" s="216"/>
      <c r="AR807" s="127"/>
      <c r="AS807" s="269"/>
      <c r="AT807" s="94"/>
      <c r="AU807" s="84"/>
      <c r="AV807" s="80"/>
      <c r="AW807" s="81"/>
      <c r="AX807" s="77"/>
      <c r="AY807" s="107"/>
      <c r="AZ807" s="220">
        <f t="shared" si="48"/>
        <v>0</v>
      </c>
      <c r="BA807" s="220">
        <f t="shared" si="49"/>
        <v>0</v>
      </c>
    </row>
    <row r="808" spans="1:53" ht="50.1" customHeight="1" x14ac:dyDescent="0.25">
      <c r="A808" s="17">
        <f t="shared" si="50"/>
        <v>794</v>
      </c>
      <c r="B808" s="229"/>
      <c r="C808" s="222"/>
      <c r="D808" s="112"/>
      <c r="E808" s="128"/>
      <c r="F808" s="129"/>
      <c r="G808" s="130"/>
      <c r="H808" s="131"/>
      <c r="I808" s="132"/>
      <c r="J808" s="108"/>
      <c r="K808" s="133"/>
      <c r="L808" s="134"/>
      <c r="M808" s="334"/>
      <c r="N808" s="343"/>
      <c r="O808" s="135"/>
      <c r="P808" s="82"/>
      <c r="Q808" s="135"/>
      <c r="R808" s="82"/>
      <c r="S808" s="299"/>
      <c r="T808" s="305"/>
      <c r="U808" s="298"/>
      <c r="V808" s="304"/>
      <c r="W808" s="249"/>
      <c r="X808" s="344"/>
      <c r="Y808" s="337"/>
      <c r="Z808" s="33"/>
      <c r="AA808" s="83"/>
      <c r="AB808" s="33"/>
      <c r="AC808" s="83"/>
      <c r="AD808" s="33"/>
      <c r="AE808" s="83"/>
      <c r="AF808" s="33"/>
      <c r="AG808" s="244"/>
      <c r="AH808" s="83"/>
      <c r="AI808" s="246"/>
      <c r="AJ808" s="102"/>
      <c r="AK808" s="92"/>
      <c r="AL808" s="91"/>
      <c r="AM808" s="92"/>
      <c r="AN808" s="351"/>
      <c r="AO808" s="197">
        <f t="shared" si="51"/>
        <v>0</v>
      </c>
      <c r="AP808" s="91"/>
      <c r="AQ808" s="217"/>
      <c r="AR808" s="103"/>
      <c r="AS808" s="264"/>
      <c r="AT808" s="94"/>
      <c r="AU808" s="84"/>
      <c r="AV808" s="136"/>
      <c r="AW808" s="77"/>
      <c r="AX808" s="137"/>
      <c r="AY808" s="138"/>
      <c r="AZ808" s="220">
        <f t="shared" si="48"/>
        <v>0</v>
      </c>
      <c r="BA808" s="220">
        <f t="shared" si="49"/>
        <v>0</v>
      </c>
    </row>
    <row r="809" spans="1:53" ht="50.1" customHeight="1" x14ac:dyDescent="0.25">
      <c r="A809" s="17">
        <f t="shared" si="50"/>
        <v>795</v>
      </c>
      <c r="B809" s="228"/>
      <c r="C809" s="221"/>
      <c r="D809" s="88"/>
      <c r="E809" s="100"/>
      <c r="F809" s="95"/>
      <c r="G809" s="114"/>
      <c r="H809" s="96"/>
      <c r="I809" s="97"/>
      <c r="J809" s="98"/>
      <c r="K809" s="101"/>
      <c r="L809" s="124"/>
      <c r="M809" s="333"/>
      <c r="N809" s="341"/>
      <c r="O809" s="82"/>
      <c r="P809" s="93"/>
      <c r="Q809" s="82"/>
      <c r="R809" s="93"/>
      <c r="S809" s="298"/>
      <c r="T809" s="304"/>
      <c r="U809" s="307"/>
      <c r="V809" s="309"/>
      <c r="W809" s="248"/>
      <c r="X809" s="342"/>
      <c r="Y809" s="336"/>
      <c r="Z809" s="123"/>
      <c r="AA809" s="33"/>
      <c r="AB809" s="123"/>
      <c r="AC809" s="33"/>
      <c r="AD809" s="123"/>
      <c r="AE809" s="33"/>
      <c r="AF809" s="123"/>
      <c r="AG809" s="243"/>
      <c r="AH809" s="33"/>
      <c r="AI809" s="245"/>
      <c r="AJ809" s="125"/>
      <c r="AK809" s="91"/>
      <c r="AL809" s="126"/>
      <c r="AM809" s="91"/>
      <c r="AN809" s="91"/>
      <c r="AO809" s="197">
        <f t="shared" si="51"/>
        <v>0</v>
      </c>
      <c r="AP809" s="126"/>
      <c r="AQ809" s="216"/>
      <c r="AR809" s="127"/>
      <c r="AS809" s="269"/>
      <c r="AT809" s="94"/>
      <c r="AU809" s="84"/>
      <c r="AV809" s="80"/>
      <c r="AW809" s="81"/>
      <c r="AX809" s="77"/>
      <c r="AY809" s="107"/>
      <c r="AZ809" s="220">
        <f t="shared" si="48"/>
        <v>0</v>
      </c>
      <c r="BA809" s="220">
        <f t="shared" si="49"/>
        <v>0</v>
      </c>
    </row>
    <row r="810" spans="1:53" ht="50.1" customHeight="1" x14ac:dyDescent="0.25">
      <c r="A810" s="17">
        <f t="shared" si="50"/>
        <v>796</v>
      </c>
      <c r="B810" s="229"/>
      <c r="C810" s="222"/>
      <c r="D810" s="112"/>
      <c r="E810" s="128"/>
      <c r="F810" s="129"/>
      <c r="G810" s="130"/>
      <c r="H810" s="131"/>
      <c r="I810" s="132"/>
      <c r="J810" s="108"/>
      <c r="K810" s="133"/>
      <c r="L810" s="134"/>
      <c r="M810" s="334"/>
      <c r="N810" s="343"/>
      <c r="O810" s="135"/>
      <c r="P810" s="82"/>
      <c r="Q810" s="135"/>
      <c r="R810" s="82"/>
      <c r="S810" s="299"/>
      <c r="T810" s="305"/>
      <c r="U810" s="298"/>
      <c r="V810" s="304"/>
      <c r="W810" s="249"/>
      <c r="X810" s="344"/>
      <c r="Y810" s="337"/>
      <c r="Z810" s="33"/>
      <c r="AA810" s="83"/>
      <c r="AB810" s="33"/>
      <c r="AC810" s="83"/>
      <c r="AD810" s="33"/>
      <c r="AE810" s="83"/>
      <c r="AF810" s="33"/>
      <c r="AG810" s="244"/>
      <c r="AH810" s="83"/>
      <c r="AI810" s="246"/>
      <c r="AJ810" s="102"/>
      <c r="AK810" s="92"/>
      <c r="AL810" s="91"/>
      <c r="AM810" s="92"/>
      <c r="AN810" s="351"/>
      <c r="AO810" s="197">
        <f t="shared" si="51"/>
        <v>0</v>
      </c>
      <c r="AP810" s="91"/>
      <c r="AQ810" s="217"/>
      <c r="AR810" s="103"/>
      <c r="AS810" s="264"/>
      <c r="AT810" s="94"/>
      <c r="AU810" s="84"/>
      <c r="AV810" s="136"/>
      <c r="AW810" s="77"/>
      <c r="AX810" s="137"/>
      <c r="AY810" s="138"/>
      <c r="AZ810" s="220">
        <f t="shared" si="48"/>
        <v>0</v>
      </c>
      <c r="BA810" s="220">
        <f t="shared" si="49"/>
        <v>0</v>
      </c>
    </row>
    <row r="811" spans="1:53" ht="50.1" customHeight="1" x14ac:dyDescent="0.25">
      <c r="A811" s="17">
        <f t="shared" si="50"/>
        <v>797</v>
      </c>
      <c r="B811" s="228"/>
      <c r="C811" s="221"/>
      <c r="D811" s="88"/>
      <c r="E811" s="100"/>
      <c r="F811" s="95"/>
      <c r="G811" s="114"/>
      <c r="H811" s="96"/>
      <c r="I811" s="97"/>
      <c r="J811" s="98"/>
      <c r="K811" s="101"/>
      <c r="L811" s="124"/>
      <c r="M811" s="333"/>
      <c r="N811" s="341"/>
      <c r="O811" s="82"/>
      <c r="P811" s="93"/>
      <c r="Q811" s="82"/>
      <c r="R811" s="93"/>
      <c r="S811" s="298"/>
      <c r="T811" s="304"/>
      <c r="U811" s="307"/>
      <c r="V811" s="309"/>
      <c r="W811" s="248"/>
      <c r="X811" s="342"/>
      <c r="Y811" s="336"/>
      <c r="Z811" s="123"/>
      <c r="AA811" s="33"/>
      <c r="AB811" s="123"/>
      <c r="AC811" s="33"/>
      <c r="AD811" s="123"/>
      <c r="AE811" s="33"/>
      <c r="AF811" s="123"/>
      <c r="AG811" s="243"/>
      <c r="AH811" s="33"/>
      <c r="AI811" s="245"/>
      <c r="AJ811" s="125"/>
      <c r="AK811" s="91"/>
      <c r="AL811" s="126"/>
      <c r="AM811" s="91"/>
      <c r="AN811" s="91"/>
      <c r="AO811" s="197">
        <f t="shared" si="51"/>
        <v>0</v>
      </c>
      <c r="AP811" s="126"/>
      <c r="AQ811" s="216"/>
      <c r="AR811" s="127"/>
      <c r="AS811" s="269"/>
      <c r="AT811" s="94"/>
      <c r="AU811" s="84"/>
      <c r="AV811" s="80"/>
      <c r="AW811" s="81"/>
      <c r="AX811" s="77"/>
      <c r="AY811" s="107"/>
      <c r="AZ811" s="220">
        <f t="shared" si="48"/>
        <v>0</v>
      </c>
      <c r="BA811" s="220">
        <f t="shared" si="49"/>
        <v>0</v>
      </c>
    </row>
    <row r="812" spans="1:53" ht="50.1" customHeight="1" x14ac:dyDescent="0.25">
      <c r="A812" s="17">
        <f t="shared" si="50"/>
        <v>798</v>
      </c>
      <c r="B812" s="229"/>
      <c r="C812" s="222"/>
      <c r="D812" s="112"/>
      <c r="E812" s="128"/>
      <c r="F812" s="129"/>
      <c r="G812" s="130"/>
      <c r="H812" s="131"/>
      <c r="I812" s="132"/>
      <c r="J812" s="108"/>
      <c r="K812" s="133"/>
      <c r="L812" s="134"/>
      <c r="M812" s="334"/>
      <c r="N812" s="343"/>
      <c r="O812" s="135"/>
      <c r="P812" s="82"/>
      <c r="Q812" s="135"/>
      <c r="R812" s="82"/>
      <c r="S812" s="299"/>
      <c r="T812" s="305"/>
      <c r="U812" s="298"/>
      <c r="V812" s="304"/>
      <c r="W812" s="249"/>
      <c r="X812" s="344"/>
      <c r="Y812" s="337"/>
      <c r="Z812" s="33"/>
      <c r="AA812" s="83"/>
      <c r="AB812" s="33"/>
      <c r="AC812" s="83"/>
      <c r="AD812" s="33"/>
      <c r="AE812" s="83"/>
      <c r="AF812" s="33"/>
      <c r="AG812" s="244"/>
      <c r="AH812" s="83"/>
      <c r="AI812" s="246"/>
      <c r="AJ812" s="102"/>
      <c r="AK812" s="92"/>
      <c r="AL812" s="91"/>
      <c r="AM812" s="92"/>
      <c r="AN812" s="351"/>
      <c r="AO812" s="197">
        <f t="shared" si="51"/>
        <v>0</v>
      </c>
      <c r="AP812" s="91"/>
      <c r="AQ812" s="217"/>
      <c r="AR812" s="103"/>
      <c r="AS812" s="264"/>
      <c r="AT812" s="94"/>
      <c r="AU812" s="84"/>
      <c r="AV812" s="136"/>
      <c r="AW812" s="77"/>
      <c r="AX812" s="137"/>
      <c r="AY812" s="138"/>
      <c r="AZ812" s="220">
        <f t="shared" si="48"/>
        <v>0</v>
      </c>
      <c r="BA812" s="220">
        <f t="shared" si="49"/>
        <v>0</v>
      </c>
    </row>
    <row r="813" spans="1:53" ht="50.1" customHeight="1" x14ac:dyDescent="0.25">
      <c r="A813" s="17">
        <f t="shared" si="50"/>
        <v>799</v>
      </c>
      <c r="B813" s="228"/>
      <c r="C813" s="221"/>
      <c r="D813" s="88"/>
      <c r="E813" s="100"/>
      <c r="F813" s="95"/>
      <c r="G813" s="114"/>
      <c r="H813" s="96"/>
      <c r="I813" s="97"/>
      <c r="J813" s="98"/>
      <c r="K813" s="101"/>
      <c r="L813" s="124"/>
      <c r="M813" s="333"/>
      <c r="N813" s="341"/>
      <c r="O813" s="82"/>
      <c r="P813" s="93"/>
      <c r="Q813" s="82"/>
      <c r="R813" s="93"/>
      <c r="S813" s="298"/>
      <c r="T813" s="304"/>
      <c r="U813" s="307"/>
      <c r="V813" s="309"/>
      <c r="W813" s="248"/>
      <c r="X813" s="342"/>
      <c r="Y813" s="336"/>
      <c r="Z813" s="123"/>
      <c r="AA813" s="33"/>
      <c r="AB813" s="123"/>
      <c r="AC813" s="33"/>
      <c r="AD813" s="123"/>
      <c r="AE813" s="33"/>
      <c r="AF813" s="123"/>
      <c r="AG813" s="243"/>
      <c r="AH813" s="33"/>
      <c r="AI813" s="245"/>
      <c r="AJ813" s="125"/>
      <c r="AK813" s="91"/>
      <c r="AL813" s="126"/>
      <c r="AM813" s="91"/>
      <c r="AN813" s="91"/>
      <c r="AO813" s="197">
        <f t="shared" si="51"/>
        <v>0</v>
      </c>
      <c r="AP813" s="126"/>
      <c r="AQ813" s="216"/>
      <c r="AR813" s="127"/>
      <c r="AS813" s="269"/>
      <c r="AT813" s="94"/>
      <c r="AU813" s="84"/>
      <c r="AV813" s="80"/>
      <c r="AW813" s="81"/>
      <c r="AX813" s="77"/>
      <c r="AY813" s="107"/>
      <c r="AZ813" s="220">
        <f t="shared" si="48"/>
        <v>0</v>
      </c>
      <c r="BA813" s="220">
        <f t="shared" si="49"/>
        <v>0</v>
      </c>
    </row>
    <row r="814" spans="1:53" ht="50.1" customHeight="1" x14ac:dyDescent="0.25">
      <c r="A814" s="17">
        <f t="shared" si="50"/>
        <v>800</v>
      </c>
      <c r="B814" s="229"/>
      <c r="C814" s="222"/>
      <c r="D814" s="112"/>
      <c r="E814" s="128"/>
      <c r="F814" s="129"/>
      <c r="G814" s="130"/>
      <c r="H814" s="131"/>
      <c r="I814" s="132"/>
      <c r="J814" s="108"/>
      <c r="K814" s="133"/>
      <c r="L814" s="134"/>
      <c r="M814" s="334"/>
      <c r="N814" s="343"/>
      <c r="O814" s="135"/>
      <c r="P814" s="82"/>
      <c r="Q814" s="135"/>
      <c r="R814" s="82"/>
      <c r="S814" s="299"/>
      <c r="T814" s="305"/>
      <c r="U814" s="298"/>
      <c r="V814" s="304"/>
      <c r="W814" s="249"/>
      <c r="X814" s="344"/>
      <c r="Y814" s="337"/>
      <c r="Z814" s="33"/>
      <c r="AA814" s="83"/>
      <c r="AB814" s="33"/>
      <c r="AC814" s="83"/>
      <c r="AD814" s="33"/>
      <c r="AE814" s="83"/>
      <c r="AF814" s="33"/>
      <c r="AG814" s="244"/>
      <c r="AH814" s="83"/>
      <c r="AI814" s="246"/>
      <c r="AJ814" s="102"/>
      <c r="AK814" s="92"/>
      <c r="AL814" s="91"/>
      <c r="AM814" s="92"/>
      <c r="AN814" s="351"/>
      <c r="AO814" s="197">
        <f t="shared" si="51"/>
        <v>0</v>
      </c>
      <c r="AP814" s="91"/>
      <c r="AQ814" s="217"/>
      <c r="AR814" s="103"/>
      <c r="AS814" s="264"/>
      <c r="AT814" s="94"/>
      <c r="AU814" s="84"/>
      <c r="AV814" s="136"/>
      <c r="AW814" s="77"/>
      <c r="AX814" s="137"/>
      <c r="AY814" s="138"/>
      <c r="AZ814" s="220">
        <f t="shared" si="48"/>
        <v>0</v>
      </c>
      <c r="BA814" s="220">
        <f t="shared" si="49"/>
        <v>0</v>
      </c>
    </row>
    <row r="815" spans="1:53" ht="50.1" customHeight="1" x14ac:dyDescent="0.25">
      <c r="A815" s="17">
        <f t="shared" si="50"/>
        <v>801</v>
      </c>
      <c r="B815" s="228"/>
      <c r="C815" s="221"/>
      <c r="D815" s="88"/>
      <c r="E815" s="100"/>
      <c r="F815" s="95"/>
      <c r="G815" s="114"/>
      <c r="H815" s="96"/>
      <c r="I815" s="97"/>
      <c r="J815" s="98"/>
      <c r="K815" s="101"/>
      <c r="L815" s="124"/>
      <c r="M815" s="333"/>
      <c r="N815" s="341"/>
      <c r="O815" s="82"/>
      <c r="P815" s="93"/>
      <c r="Q815" s="82"/>
      <c r="R815" s="93"/>
      <c r="S815" s="298"/>
      <c r="T815" s="304"/>
      <c r="U815" s="307"/>
      <c r="V815" s="309"/>
      <c r="W815" s="248"/>
      <c r="X815" s="342"/>
      <c r="Y815" s="336"/>
      <c r="Z815" s="123"/>
      <c r="AA815" s="33"/>
      <c r="AB815" s="123"/>
      <c r="AC815" s="33"/>
      <c r="AD815" s="123"/>
      <c r="AE815" s="33"/>
      <c r="AF815" s="123"/>
      <c r="AG815" s="243"/>
      <c r="AH815" s="33"/>
      <c r="AI815" s="245"/>
      <c r="AJ815" s="125"/>
      <c r="AK815" s="91"/>
      <c r="AL815" s="126"/>
      <c r="AM815" s="91"/>
      <c r="AN815" s="91"/>
      <c r="AO815" s="197">
        <f t="shared" si="51"/>
        <v>0</v>
      </c>
      <c r="AP815" s="126"/>
      <c r="AQ815" s="216"/>
      <c r="AR815" s="127"/>
      <c r="AS815" s="269"/>
      <c r="AT815" s="94"/>
      <c r="AU815" s="84"/>
      <c r="AV815" s="80"/>
      <c r="AW815" s="81"/>
      <c r="AX815" s="77"/>
      <c r="AY815" s="107"/>
      <c r="AZ815" s="220">
        <f t="shared" si="48"/>
        <v>0</v>
      </c>
      <c r="BA815" s="220">
        <f t="shared" si="49"/>
        <v>0</v>
      </c>
    </row>
    <row r="816" spans="1:53" ht="50.1" customHeight="1" x14ac:dyDescent="0.25">
      <c r="A816" s="17">
        <f t="shared" si="50"/>
        <v>802</v>
      </c>
      <c r="B816" s="229"/>
      <c r="C816" s="222"/>
      <c r="D816" s="112"/>
      <c r="E816" s="128"/>
      <c r="F816" s="129"/>
      <c r="G816" s="130"/>
      <c r="H816" s="131"/>
      <c r="I816" s="132"/>
      <c r="J816" s="108"/>
      <c r="K816" s="133"/>
      <c r="L816" s="134"/>
      <c r="M816" s="334"/>
      <c r="N816" s="343"/>
      <c r="O816" s="135"/>
      <c r="P816" s="82"/>
      <c r="Q816" s="135"/>
      <c r="R816" s="82"/>
      <c r="S816" s="299"/>
      <c r="T816" s="305"/>
      <c r="U816" s="298"/>
      <c r="V816" s="304"/>
      <c r="W816" s="249"/>
      <c r="X816" s="344"/>
      <c r="Y816" s="337"/>
      <c r="Z816" s="33"/>
      <c r="AA816" s="83"/>
      <c r="AB816" s="33"/>
      <c r="AC816" s="83"/>
      <c r="AD816" s="33"/>
      <c r="AE816" s="83"/>
      <c r="AF816" s="33"/>
      <c r="AG816" s="244"/>
      <c r="AH816" s="83"/>
      <c r="AI816" s="246"/>
      <c r="AJ816" s="102"/>
      <c r="AK816" s="92"/>
      <c r="AL816" s="91"/>
      <c r="AM816" s="92"/>
      <c r="AN816" s="351"/>
      <c r="AO816" s="197">
        <f t="shared" si="51"/>
        <v>0</v>
      </c>
      <c r="AP816" s="91"/>
      <c r="AQ816" s="217"/>
      <c r="AR816" s="103"/>
      <c r="AS816" s="264"/>
      <c r="AT816" s="94"/>
      <c r="AU816" s="84"/>
      <c r="AV816" s="136"/>
      <c r="AW816" s="77"/>
      <c r="AX816" s="137"/>
      <c r="AY816" s="138"/>
      <c r="AZ816" s="220">
        <f t="shared" si="48"/>
        <v>0</v>
      </c>
      <c r="BA816" s="220">
        <f t="shared" si="49"/>
        <v>0</v>
      </c>
    </row>
    <row r="817" spans="1:53" ht="50.1" customHeight="1" x14ac:dyDescent="0.25">
      <c r="A817" s="17">
        <f t="shared" si="50"/>
        <v>803</v>
      </c>
      <c r="B817" s="228"/>
      <c r="C817" s="221"/>
      <c r="D817" s="88"/>
      <c r="E817" s="100"/>
      <c r="F817" s="95"/>
      <c r="G817" s="114"/>
      <c r="H817" s="96"/>
      <c r="I817" s="97"/>
      <c r="J817" s="98"/>
      <c r="K817" s="101"/>
      <c r="L817" s="124"/>
      <c r="M817" s="333"/>
      <c r="N817" s="341"/>
      <c r="O817" s="82"/>
      <c r="P817" s="93"/>
      <c r="Q817" s="82"/>
      <c r="R817" s="93"/>
      <c r="S817" s="298"/>
      <c r="T817" s="304"/>
      <c r="U817" s="307"/>
      <c r="V817" s="309"/>
      <c r="W817" s="248"/>
      <c r="X817" s="342"/>
      <c r="Y817" s="336"/>
      <c r="Z817" s="123"/>
      <c r="AA817" s="33"/>
      <c r="AB817" s="123"/>
      <c r="AC817" s="33"/>
      <c r="AD817" s="123"/>
      <c r="AE817" s="33"/>
      <c r="AF817" s="123"/>
      <c r="AG817" s="243"/>
      <c r="AH817" s="33"/>
      <c r="AI817" s="245"/>
      <c r="AJ817" s="125"/>
      <c r="AK817" s="91"/>
      <c r="AL817" s="126"/>
      <c r="AM817" s="91"/>
      <c r="AN817" s="91"/>
      <c r="AO817" s="197">
        <f t="shared" si="51"/>
        <v>0</v>
      </c>
      <c r="AP817" s="126"/>
      <c r="AQ817" s="216"/>
      <c r="AR817" s="127"/>
      <c r="AS817" s="269"/>
      <c r="AT817" s="94"/>
      <c r="AU817" s="84"/>
      <c r="AV817" s="80"/>
      <c r="AW817" s="81"/>
      <c r="AX817" s="77"/>
      <c r="AY817" s="107"/>
      <c r="AZ817" s="220">
        <f t="shared" si="48"/>
        <v>0</v>
      </c>
      <c r="BA817" s="220">
        <f t="shared" si="49"/>
        <v>0</v>
      </c>
    </row>
    <row r="818" spans="1:53" ht="50.1" customHeight="1" x14ac:dyDescent="0.25">
      <c r="A818" s="17">
        <f t="shared" si="50"/>
        <v>804</v>
      </c>
      <c r="B818" s="229"/>
      <c r="C818" s="222"/>
      <c r="D818" s="112"/>
      <c r="E818" s="128"/>
      <c r="F818" s="129"/>
      <c r="G818" s="130"/>
      <c r="H818" s="131"/>
      <c r="I818" s="132"/>
      <c r="J818" s="108"/>
      <c r="K818" s="133"/>
      <c r="L818" s="134"/>
      <c r="M818" s="334"/>
      <c r="N818" s="343"/>
      <c r="O818" s="135"/>
      <c r="P818" s="82"/>
      <c r="Q818" s="135"/>
      <c r="R818" s="82"/>
      <c r="S818" s="299"/>
      <c r="T818" s="305"/>
      <c r="U818" s="298"/>
      <c r="V818" s="304"/>
      <c r="W818" s="249"/>
      <c r="X818" s="344"/>
      <c r="Y818" s="337"/>
      <c r="Z818" s="33"/>
      <c r="AA818" s="83"/>
      <c r="AB818" s="33"/>
      <c r="AC818" s="83"/>
      <c r="AD818" s="33"/>
      <c r="AE818" s="83"/>
      <c r="AF818" s="33"/>
      <c r="AG818" s="244"/>
      <c r="AH818" s="83"/>
      <c r="AI818" s="246"/>
      <c r="AJ818" s="102"/>
      <c r="AK818" s="92"/>
      <c r="AL818" s="91"/>
      <c r="AM818" s="92"/>
      <c r="AN818" s="351"/>
      <c r="AO818" s="197">
        <f t="shared" si="51"/>
        <v>0</v>
      </c>
      <c r="AP818" s="91"/>
      <c r="AQ818" s="217"/>
      <c r="AR818" s="103"/>
      <c r="AS818" s="264"/>
      <c r="AT818" s="94"/>
      <c r="AU818" s="84"/>
      <c r="AV818" s="136"/>
      <c r="AW818" s="77"/>
      <c r="AX818" s="137"/>
      <c r="AY818" s="138"/>
      <c r="AZ818" s="220">
        <f t="shared" si="48"/>
        <v>0</v>
      </c>
      <c r="BA818" s="220">
        <f t="shared" si="49"/>
        <v>0</v>
      </c>
    </row>
    <row r="819" spans="1:53" ht="50.1" customHeight="1" x14ac:dyDescent="0.25">
      <c r="A819" s="17">
        <f t="shared" si="50"/>
        <v>805</v>
      </c>
      <c r="B819" s="228"/>
      <c r="C819" s="221"/>
      <c r="D819" s="88"/>
      <c r="E819" s="100"/>
      <c r="F819" s="95"/>
      <c r="G819" s="114"/>
      <c r="H819" s="96"/>
      <c r="I819" s="97"/>
      <c r="J819" s="98"/>
      <c r="K819" s="101"/>
      <c r="L819" s="124"/>
      <c r="M819" s="333"/>
      <c r="N819" s="341"/>
      <c r="O819" s="82"/>
      <c r="P819" s="93"/>
      <c r="Q819" s="82"/>
      <c r="R819" s="93"/>
      <c r="S819" s="298"/>
      <c r="T819" s="304"/>
      <c r="U819" s="307"/>
      <c r="V819" s="309"/>
      <c r="W819" s="248"/>
      <c r="X819" s="342"/>
      <c r="Y819" s="336"/>
      <c r="Z819" s="123"/>
      <c r="AA819" s="33"/>
      <c r="AB819" s="123"/>
      <c r="AC819" s="33"/>
      <c r="AD819" s="123"/>
      <c r="AE819" s="33"/>
      <c r="AF819" s="123"/>
      <c r="AG819" s="243"/>
      <c r="AH819" s="33"/>
      <c r="AI819" s="245"/>
      <c r="AJ819" s="125"/>
      <c r="AK819" s="91"/>
      <c r="AL819" s="126"/>
      <c r="AM819" s="91"/>
      <c r="AN819" s="91"/>
      <c r="AO819" s="197">
        <f t="shared" si="51"/>
        <v>0</v>
      </c>
      <c r="AP819" s="126"/>
      <c r="AQ819" s="216"/>
      <c r="AR819" s="127"/>
      <c r="AS819" s="269"/>
      <c r="AT819" s="94"/>
      <c r="AU819" s="84"/>
      <c r="AV819" s="80"/>
      <c r="AW819" s="81"/>
      <c r="AX819" s="77"/>
      <c r="AY819" s="107"/>
      <c r="AZ819" s="220">
        <f t="shared" si="48"/>
        <v>0</v>
      </c>
      <c r="BA819" s="220">
        <f t="shared" si="49"/>
        <v>0</v>
      </c>
    </row>
    <row r="820" spans="1:53" ht="50.1" customHeight="1" x14ac:dyDescent="0.25">
      <c r="A820" s="17">
        <f t="shared" si="50"/>
        <v>806</v>
      </c>
      <c r="B820" s="229"/>
      <c r="C820" s="222"/>
      <c r="D820" s="112"/>
      <c r="E820" s="128"/>
      <c r="F820" s="129"/>
      <c r="G820" s="130"/>
      <c r="H820" s="131"/>
      <c r="I820" s="132"/>
      <c r="J820" s="108"/>
      <c r="K820" s="133"/>
      <c r="L820" s="134"/>
      <c r="M820" s="334"/>
      <c r="N820" s="343"/>
      <c r="O820" s="135"/>
      <c r="P820" s="82"/>
      <c r="Q820" s="135"/>
      <c r="R820" s="82"/>
      <c r="S820" s="299"/>
      <c r="T820" s="305"/>
      <c r="U820" s="298"/>
      <c r="V820" s="304"/>
      <c r="W820" s="249"/>
      <c r="X820" s="344"/>
      <c r="Y820" s="337"/>
      <c r="Z820" s="33"/>
      <c r="AA820" s="83"/>
      <c r="AB820" s="33"/>
      <c r="AC820" s="83"/>
      <c r="AD820" s="33"/>
      <c r="AE820" s="83"/>
      <c r="AF820" s="33"/>
      <c r="AG820" s="244"/>
      <c r="AH820" s="83"/>
      <c r="AI820" s="246"/>
      <c r="AJ820" s="102"/>
      <c r="AK820" s="92"/>
      <c r="AL820" s="91"/>
      <c r="AM820" s="92"/>
      <c r="AN820" s="351"/>
      <c r="AO820" s="197">
        <f t="shared" si="51"/>
        <v>0</v>
      </c>
      <c r="AP820" s="91"/>
      <c r="AQ820" s="217"/>
      <c r="AR820" s="103"/>
      <c r="AS820" s="264"/>
      <c r="AT820" s="94"/>
      <c r="AU820" s="84"/>
      <c r="AV820" s="136"/>
      <c r="AW820" s="77"/>
      <c r="AX820" s="137"/>
      <c r="AY820" s="138"/>
      <c r="AZ820" s="220">
        <f t="shared" si="48"/>
        <v>0</v>
      </c>
      <c r="BA820" s="220">
        <f t="shared" si="49"/>
        <v>0</v>
      </c>
    </row>
    <row r="821" spans="1:53" ht="50.1" customHeight="1" x14ac:dyDescent="0.25">
      <c r="A821" s="17">
        <f t="shared" si="50"/>
        <v>807</v>
      </c>
      <c r="B821" s="228"/>
      <c r="C821" s="221"/>
      <c r="D821" s="88"/>
      <c r="E821" s="100"/>
      <c r="F821" s="95"/>
      <c r="G821" s="114"/>
      <c r="H821" s="96"/>
      <c r="I821" s="97"/>
      <c r="J821" s="98"/>
      <c r="K821" s="101"/>
      <c r="L821" s="124"/>
      <c r="M821" s="333"/>
      <c r="N821" s="341"/>
      <c r="O821" s="82"/>
      <c r="P821" s="93"/>
      <c r="Q821" s="82"/>
      <c r="R821" s="93"/>
      <c r="S821" s="298"/>
      <c r="T821" s="304"/>
      <c r="U821" s="307"/>
      <c r="V821" s="309"/>
      <c r="W821" s="248"/>
      <c r="X821" s="342"/>
      <c r="Y821" s="336"/>
      <c r="Z821" s="123"/>
      <c r="AA821" s="33"/>
      <c r="AB821" s="123"/>
      <c r="AC821" s="33"/>
      <c r="AD821" s="123"/>
      <c r="AE821" s="33"/>
      <c r="AF821" s="123"/>
      <c r="AG821" s="243"/>
      <c r="AH821" s="33"/>
      <c r="AI821" s="245"/>
      <c r="AJ821" s="125"/>
      <c r="AK821" s="91"/>
      <c r="AL821" s="126"/>
      <c r="AM821" s="91"/>
      <c r="AN821" s="91"/>
      <c r="AO821" s="197">
        <f t="shared" si="51"/>
        <v>0</v>
      </c>
      <c r="AP821" s="126"/>
      <c r="AQ821" s="216"/>
      <c r="AR821" s="127"/>
      <c r="AS821" s="269"/>
      <c r="AT821" s="94"/>
      <c r="AU821" s="84"/>
      <c r="AV821" s="80"/>
      <c r="AW821" s="81"/>
      <c r="AX821" s="77"/>
      <c r="AY821" s="107"/>
      <c r="AZ821" s="220">
        <f t="shared" si="48"/>
        <v>0</v>
      </c>
      <c r="BA821" s="220">
        <f t="shared" si="49"/>
        <v>0</v>
      </c>
    </row>
    <row r="822" spans="1:53" ht="50.1" customHeight="1" x14ac:dyDescent="0.25">
      <c r="A822" s="17">
        <f t="shared" si="50"/>
        <v>808</v>
      </c>
      <c r="B822" s="229"/>
      <c r="C822" s="222"/>
      <c r="D822" s="112"/>
      <c r="E822" s="128"/>
      <c r="F822" s="129"/>
      <c r="G822" s="130"/>
      <c r="H822" s="131"/>
      <c r="I822" s="132"/>
      <c r="J822" s="108"/>
      <c r="K822" s="133"/>
      <c r="L822" s="134"/>
      <c r="M822" s="334"/>
      <c r="N822" s="343"/>
      <c r="O822" s="135"/>
      <c r="P822" s="82"/>
      <c r="Q822" s="135"/>
      <c r="R822" s="82"/>
      <c r="S822" s="299"/>
      <c r="T822" s="305"/>
      <c r="U822" s="298"/>
      <c r="V822" s="304"/>
      <c r="W822" s="249"/>
      <c r="X822" s="344"/>
      <c r="Y822" s="337"/>
      <c r="Z822" s="33"/>
      <c r="AA822" s="83"/>
      <c r="AB822" s="33"/>
      <c r="AC822" s="83"/>
      <c r="AD822" s="33"/>
      <c r="AE822" s="83"/>
      <c r="AF822" s="33"/>
      <c r="AG822" s="244"/>
      <c r="AH822" s="83"/>
      <c r="AI822" s="246"/>
      <c r="AJ822" s="102"/>
      <c r="AK822" s="92"/>
      <c r="AL822" s="91"/>
      <c r="AM822" s="92"/>
      <c r="AN822" s="351"/>
      <c r="AO822" s="197">
        <f t="shared" si="51"/>
        <v>0</v>
      </c>
      <c r="AP822" s="91"/>
      <c r="AQ822" s="217"/>
      <c r="AR822" s="103"/>
      <c r="AS822" s="264"/>
      <c r="AT822" s="94"/>
      <c r="AU822" s="84"/>
      <c r="AV822" s="136"/>
      <c r="AW822" s="77"/>
      <c r="AX822" s="137"/>
      <c r="AY822" s="138"/>
      <c r="AZ822" s="220">
        <f t="shared" si="48"/>
        <v>0</v>
      </c>
      <c r="BA822" s="220">
        <f t="shared" si="49"/>
        <v>0</v>
      </c>
    </row>
    <row r="823" spans="1:53" ht="50.1" customHeight="1" x14ac:dyDescent="0.25">
      <c r="A823" s="17">
        <f t="shared" si="50"/>
        <v>809</v>
      </c>
      <c r="B823" s="228"/>
      <c r="C823" s="221"/>
      <c r="D823" s="88"/>
      <c r="E823" s="100"/>
      <c r="F823" s="95"/>
      <c r="G823" s="114"/>
      <c r="H823" s="96"/>
      <c r="I823" s="97"/>
      <c r="J823" s="98"/>
      <c r="K823" s="101"/>
      <c r="L823" s="124"/>
      <c r="M823" s="333"/>
      <c r="N823" s="341"/>
      <c r="O823" s="82"/>
      <c r="P823" s="93"/>
      <c r="Q823" s="82"/>
      <c r="R823" s="93"/>
      <c r="S823" s="298"/>
      <c r="T823" s="304"/>
      <c r="U823" s="307"/>
      <c r="V823" s="309"/>
      <c r="W823" s="248"/>
      <c r="X823" s="342"/>
      <c r="Y823" s="336"/>
      <c r="Z823" s="123"/>
      <c r="AA823" s="33"/>
      <c r="AB823" s="123"/>
      <c r="AC823" s="33"/>
      <c r="AD823" s="123"/>
      <c r="AE823" s="33"/>
      <c r="AF823" s="123"/>
      <c r="AG823" s="243"/>
      <c r="AH823" s="33"/>
      <c r="AI823" s="245"/>
      <c r="AJ823" s="125"/>
      <c r="AK823" s="91"/>
      <c r="AL823" s="126"/>
      <c r="AM823" s="91"/>
      <c r="AN823" s="91"/>
      <c r="AO823" s="197">
        <f t="shared" si="51"/>
        <v>0</v>
      </c>
      <c r="AP823" s="126"/>
      <c r="AQ823" s="216"/>
      <c r="AR823" s="127"/>
      <c r="AS823" s="269"/>
      <c r="AT823" s="94"/>
      <c r="AU823" s="84"/>
      <c r="AV823" s="80"/>
      <c r="AW823" s="81"/>
      <c r="AX823" s="77"/>
      <c r="AY823" s="107"/>
      <c r="AZ823" s="220">
        <f t="shared" si="48"/>
        <v>0</v>
      </c>
      <c r="BA823" s="220">
        <f t="shared" si="49"/>
        <v>0</v>
      </c>
    </row>
    <row r="824" spans="1:53" ht="50.1" customHeight="1" x14ac:dyDescent="0.25">
      <c r="A824" s="17">
        <f t="shared" si="50"/>
        <v>810</v>
      </c>
      <c r="B824" s="229"/>
      <c r="C824" s="222"/>
      <c r="D824" s="112"/>
      <c r="E824" s="128"/>
      <c r="F824" s="129"/>
      <c r="G824" s="130"/>
      <c r="H824" s="131"/>
      <c r="I824" s="132"/>
      <c r="J824" s="108"/>
      <c r="K824" s="133"/>
      <c r="L824" s="134"/>
      <c r="M824" s="334"/>
      <c r="N824" s="343"/>
      <c r="O824" s="135"/>
      <c r="P824" s="82"/>
      <c r="Q824" s="135"/>
      <c r="R824" s="82"/>
      <c r="S824" s="299"/>
      <c r="T824" s="305"/>
      <c r="U824" s="298"/>
      <c r="V824" s="304"/>
      <c r="W824" s="249"/>
      <c r="X824" s="344"/>
      <c r="Y824" s="337"/>
      <c r="Z824" s="33"/>
      <c r="AA824" s="83"/>
      <c r="AB824" s="33"/>
      <c r="AC824" s="83"/>
      <c r="AD824" s="33"/>
      <c r="AE824" s="83"/>
      <c r="AF824" s="33"/>
      <c r="AG824" s="244"/>
      <c r="AH824" s="83"/>
      <c r="AI824" s="246"/>
      <c r="AJ824" s="102"/>
      <c r="AK824" s="92"/>
      <c r="AL824" s="91"/>
      <c r="AM824" s="92"/>
      <c r="AN824" s="351"/>
      <c r="AO824" s="197">
        <f t="shared" si="51"/>
        <v>0</v>
      </c>
      <c r="AP824" s="91"/>
      <c r="AQ824" s="217"/>
      <c r="AR824" s="103"/>
      <c r="AS824" s="264"/>
      <c r="AT824" s="94"/>
      <c r="AU824" s="84"/>
      <c r="AV824" s="136"/>
      <c r="AW824" s="77"/>
      <c r="AX824" s="137"/>
      <c r="AY824" s="138"/>
      <c r="AZ824" s="220">
        <f t="shared" si="48"/>
        <v>0</v>
      </c>
      <c r="BA824" s="220">
        <f t="shared" si="49"/>
        <v>0</v>
      </c>
    </row>
    <row r="825" spans="1:53" ht="50.1" customHeight="1" x14ac:dyDescent="0.25">
      <c r="A825" s="17">
        <f t="shared" si="50"/>
        <v>811</v>
      </c>
      <c r="B825" s="228"/>
      <c r="C825" s="221"/>
      <c r="D825" s="88"/>
      <c r="E825" s="100"/>
      <c r="F825" s="95"/>
      <c r="G825" s="114"/>
      <c r="H825" s="96"/>
      <c r="I825" s="97"/>
      <c r="J825" s="98"/>
      <c r="K825" s="101"/>
      <c r="L825" s="124"/>
      <c r="M825" s="333"/>
      <c r="N825" s="341"/>
      <c r="O825" s="82"/>
      <c r="P825" s="93"/>
      <c r="Q825" s="82"/>
      <c r="R825" s="93"/>
      <c r="S825" s="298"/>
      <c r="T825" s="304"/>
      <c r="U825" s="307"/>
      <c r="V825" s="309"/>
      <c r="W825" s="248"/>
      <c r="X825" s="342"/>
      <c r="Y825" s="336"/>
      <c r="Z825" s="123"/>
      <c r="AA825" s="33"/>
      <c r="AB825" s="123"/>
      <c r="AC825" s="33"/>
      <c r="AD825" s="123"/>
      <c r="AE825" s="33"/>
      <c r="AF825" s="123"/>
      <c r="AG825" s="243"/>
      <c r="AH825" s="33"/>
      <c r="AI825" s="245"/>
      <c r="AJ825" s="125"/>
      <c r="AK825" s="91"/>
      <c r="AL825" s="126"/>
      <c r="AM825" s="91"/>
      <c r="AN825" s="91"/>
      <c r="AO825" s="197">
        <f t="shared" si="51"/>
        <v>0</v>
      </c>
      <c r="AP825" s="126"/>
      <c r="AQ825" s="216"/>
      <c r="AR825" s="127"/>
      <c r="AS825" s="269"/>
      <c r="AT825" s="94"/>
      <c r="AU825" s="84"/>
      <c r="AV825" s="80"/>
      <c r="AW825" s="81"/>
      <c r="AX825" s="77"/>
      <c r="AY825" s="107"/>
      <c r="AZ825" s="220">
        <f t="shared" si="48"/>
        <v>0</v>
      </c>
      <c r="BA825" s="220">
        <f t="shared" si="49"/>
        <v>0</v>
      </c>
    </row>
    <row r="826" spans="1:53" ht="50.1" customHeight="1" x14ac:dyDescent="0.25">
      <c r="A826" s="17">
        <f t="shared" si="50"/>
        <v>812</v>
      </c>
      <c r="B826" s="229"/>
      <c r="C826" s="222"/>
      <c r="D826" s="112"/>
      <c r="E826" s="128"/>
      <c r="F826" s="129"/>
      <c r="G826" s="130"/>
      <c r="H826" s="131"/>
      <c r="I826" s="132"/>
      <c r="J826" s="108"/>
      <c r="K826" s="133"/>
      <c r="L826" s="134"/>
      <c r="M826" s="334"/>
      <c r="N826" s="343"/>
      <c r="O826" s="135"/>
      <c r="P826" s="82"/>
      <c r="Q826" s="135"/>
      <c r="R826" s="82"/>
      <c r="S826" s="299"/>
      <c r="T826" s="305"/>
      <c r="U826" s="298"/>
      <c r="V826" s="304"/>
      <c r="W826" s="249"/>
      <c r="X826" s="344"/>
      <c r="Y826" s="337"/>
      <c r="Z826" s="33"/>
      <c r="AA826" s="83"/>
      <c r="AB826" s="33"/>
      <c r="AC826" s="83"/>
      <c r="AD826" s="33"/>
      <c r="AE826" s="83"/>
      <c r="AF826" s="33"/>
      <c r="AG826" s="244"/>
      <c r="AH826" s="83"/>
      <c r="AI826" s="246"/>
      <c r="AJ826" s="102"/>
      <c r="AK826" s="92"/>
      <c r="AL826" s="91"/>
      <c r="AM826" s="92"/>
      <c r="AN826" s="351"/>
      <c r="AO826" s="197">
        <f t="shared" si="51"/>
        <v>0</v>
      </c>
      <c r="AP826" s="91"/>
      <c r="AQ826" s="217"/>
      <c r="AR826" s="103"/>
      <c r="AS826" s="264"/>
      <c r="AT826" s="94"/>
      <c r="AU826" s="84"/>
      <c r="AV826" s="136"/>
      <c r="AW826" s="77"/>
      <c r="AX826" s="137"/>
      <c r="AY826" s="138"/>
      <c r="AZ826" s="220">
        <f t="shared" si="48"/>
        <v>0</v>
      </c>
      <c r="BA826" s="220">
        <f t="shared" si="49"/>
        <v>0</v>
      </c>
    </row>
    <row r="827" spans="1:53" ht="50.1" customHeight="1" x14ac:dyDescent="0.25">
      <c r="A827" s="17">
        <f t="shared" si="50"/>
        <v>813</v>
      </c>
      <c r="B827" s="228"/>
      <c r="C827" s="221"/>
      <c r="D827" s="88"/>
      <c r="E827" s="100"/>
      <c r="F827" s="95"/>
      <c r="G827" s="114"/>
      <c r="H827" s="96"/>
      <c r="I827" s="97"/>
      <c r="J827" s="98"/>
      <c r="K827" s="101"/>
      <c r="L827" s="124"/>
      <c r="M827" s="333"/>
      <c r="N827" s="341"/>
      <c r="O827" s="82"/>
      <c r="P827" s="93"/>
      <c r="Q827" s="82"/>
      <c r="R827" s="93"/>
      <c r="S827" s="298"/>
      <c r="T827" s="304"/>
      <c r="U827" s="307"/>
      <c r="V827" s="309"/>
      <c r="W827" s="248"/>
      <c r="X827" s="342"/>
      <c r="Y827" s="336"/>
      <c r="Z827" s="123"/>
      <c r="AA827" s="33"/>
      <c r="AB827" s="123"/>
      <c r="AC827" s="33"/>
      <c r="AD827" s="123"/>
      <c r="AE827" s="33"/>
      <c r="AF827" s="123"/>
      <c r="AG827" s="243"/>
      <c r="AH827" s="33"/>
      <c r="AI827" s="245"/>
      <c r="AJ827" s="125"/>
      <c r="AK827" s="91"/>
      <c r="AL827" s="126"/>
      <c r="AM827" s="91"/>
      <c r="AN827" s="91"/>
      <c r="AO827" s="197">
        <f t="shared" si="51"/>
        <v>0</v>
      </c>
      <c r="AP827" s="126"/>
      <c r="AQ827" s="216"/>
      <c r="AR827" s="127"/>
      <c r="AS827" s="269"/>
      <c r="AT827" s="94"/>
      <c r="AU827" s="84"/>
      <c r="AV827" s="80"/>
      <c r="AW827" s="81"/>
      <c r="AX827" s="77"/>
      <c r="AY827" s="107"/>
      <c r="AZ827" s="220">
        <f t="shared" si="48"/>
        <v>0</v>
      </c>
      <c r="BA827" s="220">
        <f t="shared" si="49"/>
        <v>0</v>
      </c>
    </row>
    <row r="828" spans="1:53" ht="50.1" customHeight="1" x14ac:dyDescent="0.25">
      <c r="A828" s="17">
        <f t="shared" si="50"/>
        <v>814</v>
      </c>
      <c r="B828" s="229"/>
      <c r="C828" s="222"/>
      <c r="D828" s="112"/>
      <c r="E828" s="128"/>
      <c r="F828" s="129"/>
      <c r="G828" s="130"/>
      <c r="H828" s="131"/>
      <c r="I828" s="132"/>
      <c r="J828" s="108"/>
      <c r="K828" s="133"/>
      <c r="L828" s="134"/>
      <c r="M828" s="334"/>
      <c r="N828" s="343"/>
      <c r="O828" s="135"/>
      <c r="P828" s="82"/>
      <c r="Q828" s="135"/>
      <c r="R828" s="82"/>
      <c r="S828" s="299"/>
      <c r="T828" s="305"/>
      <c r="U828" s="298"/>
      <c r="V828" s="304"/>
      <c r="W828" s="249"/>
      <c r="X828" s="344"/>
      <c r="Y828" s="337"/>
      <c r="Z828" s="33"/>
      <c r="AA828" s="83"/>
      <c r="AB828" s="33"/>
      <c r="AC828" s="83"/>
      <c r="AD828" s="33"/>
      <c r="AE828" s="83"/>
      <c r="AF828" s="33"/>
      <c r="AG828" s="244"/>
      <c r="AH828" s="83"/>
      <c r="AI828" s="246"/>
      <c r="AJ828" s="102"/>
      <c r="AK828" s="92"/>
      <c r="AL828" s="91"/>
      <c r="AM828" s="92"/>
      <c r="AN828" s="351"/>
      <c r="AO828" s="197">
        <f t="shared" si="51"/>
        <v>0</v>
      </c>
      <c r="AP828" s="91"/>
      <c r="AQ828" s="217"/>
      <c r="AR828" s="103"/>
      <c r="AS828" s="264"/>
      <c r="AT828" s="94"/>
      <c r="AU828" s="84"/>
      <c r="AV828" s="136"/>
      <c r="AW828" s="77"/>
      <c r="AX828" s="137"/>
      <c r="AY828" s="138"/>
      <c r="AZ828" s="220">
        <f t="shared" si="48"/>
        <v>0</v>
      </c>
      <c r="BA828" s="220">
        <f t="shared" si="49"/>
        <v>0</v>
      </c>
    </row>
    <row r="829" spans="1:53" ht="50.1" customHeight="1" x14ac:dyDescent="0.25">
      <c r="A829" s="17">
        <f t="shared" si="50"/>
        <v>815</v>
      </c>
      <c r="B829" s="228"/>
      <c r="C829" s="221"/>
      <c r="D829" s="88"/>
      <c r="E829" s="100"/>
      <c r="F829" s="95"/>
      <c r="G829" s="114"/>
      <c r="H829" s="96"/>
      <c r="I829" s="97"/>
      <c r="J829" s="98"/>
      <c r="K829" s="101"/>
      <c r="L829" s="124"/>
      <c r="M829" s="333"/>
      <c r="N829" s="341"/>
      <c r="O829" s="82"/>
      <c r="P829" s="93"/>
      <c r="Q829" s="82"/>
      <c r="R829" s="93"/>
      <c r="S829" s="298"/>
      <c r="T829" s="304"/>
      <c r="U829" s="307"/>
      <c r="V829" s="309"/>
      <c r="W829" s="248"/>
      <c r="X829" s="342"/>
      <c r="Y829" s="336"/>
      <c r="Z829" s="123"/>
      <c r="AA829" s="33"/>
      <c r="AB829" s="123"/>
      <c r="AC829" s="33"/>
      <c r="AD829" s="123"/>
      <c r="AE829" s="33"/>
      <c r="AF829" s="123"/>
      <c r="AG829" s="243"/>
      <c r="AH829" s="33"/>
      <c r="AI829" s="245"/>
      <c r="AJ829" s="125"/>
      <c r="AK829" s="91"/>
      <c r="AL829" s="126"/>
      <c r="AM829" s="91"/>
      <c r="AN829" s="91"/>
      <c r="AO829" s="197">
        <f t="shared" si="51"/>
        <v>0</v>
      </c>
      <c r="AP829" s="126"/>
      <c r="AQ829" s="216"/>
      <c r="AR829" s="127"/>
      <c r="AS829" s="269"/>
      <c r="AT829" s="94"/>
      <c r="AU829" s="84"/>
      <c r="AV829" s="80"/>
      <c r="AW829" s="81"/>
      <c r="AX829" s="77"/>
      <c r="AY829" s="107"/>
      <c r="AZ829" s="220">
        <f t="shared" si="48"/>
        <v>0</v>
      </c>
      <c r="BA829" s="220">
        <f t="shared" si="49"/>
        <v>0</v>
      </c>
    </row>
    <row r="830" spans="1:53" ht="50.1" customHeight="1" x14ac:dyDescent="0.25">
      <c r="A830" s="17">
        <f t="shared" si="50"/>
        <v>816</v>
      </c>
      <c r="B830" s="229"/>
      <c r="C830" s="222"/>
      <c r="D830" s="112"/>
      <c r="E830" s="128"/>
      <c r="F830" s="129"/>
      <c r="G830" s="130"/>
      <c r="H830" s="131"/>
      <c r="I830" s="132"/>
      <c r="J830" s="108"/>
      <c r="K830" s="133"/>
      <c r="L830" s="134"/>
      <c r="M830" s="334"/>
      <c r="N830" s="343"/>
      <c r="O830" s="135"/>
      <c r="P830" s="82"/>
      <c r="Q830" s="135"/>
      <c r="R830" s="82"/>
      <c r="S830" s="299"/>
      <c r="T830" s="305"/>
      <c r="U830" s="298"/>
      <c r="V830" s="304"/>
      <c r="W830" s="249"/>
      <c r="X830" s="344"/>
      <c r="Y830" s="337"/>
      <c r="Z830" s="33"/>
      <c r="AA830" s="83"/>
      <c r="AB830" s="33"/>
      <c r="AC830" s="83"/>
      <c r="AD830" s="33"/>
      <c r="AE830" s="83"/>
      <c r="AF830" s="33"/>
      <c r="AG830" s="244"/>
      <c r="AH830" s="83"/>
      <c r="AI830" s="246"/>
      <c r="AJ830" s="102"/>
      <c r="AK830" s="92"/>
      <c r="AL830" s="91"/>
      <c r="AM830" s="92"/>
      <c r="AN830" s="351"/>
      <c r="AO830" s="197">
        <f t="shared" si="51"/>
        <v>0</v>
      </c>
      <c r="AP830" s="91"/>
      <c r="AQ830" s="217"/>
      <c r="AR830" s="103"/>
      <c r="AS830" s="264"/>
      <c r="AT830" s="94"/>
      <c r="AU830" s="84"/>
      <c r="AV830" s="136"/>
      <c r="AW830" s="77"/>
      <c r="AX830" s="137"/>
      <c r="AY830" s="138"/>
      <c r="AZ830" s="220">
        <f t="shared" si="48"/>
        <v>0</v>
      </c>
      <c r="BA830" s="220">
        <f t="shared" si="49"/>
        <v>0</v>
      </c>
    </row>
    <row r="831" spans="1:53" ht="50.1" customHeight="1" x14ac:dyDescent="0.25">
      <c r="A831" s="17">
        <f t="shared" si="50"/>
        <v>817</v>
      </c>
      <c r="B831" s="228"/>
      <c r="C831" s="221"/>
      <c r="D831" s="88"/>
      <c r="E831" s="100"/>
      <c r="F831" s="95"/>
      <c r="G831" s="114"/>
      <c r="H831" s="96"/>
      <c r="I831" s="97"/>
      <c r="J831" s="98"/>
      <c r="K831" s="101"/>
      <c r="L831" s="124"/>
      <c r="M831" s="333"/>
      <c r="N831" s="341"/>
      <c r="O831" s="82"/>
      <c r="P831" s="93"/>
      <c r="Q831" s="82"/>
      <c r="R831" s="93"/>
      <c r="S831" s="298"/>
      <c r="T831" s="304"/>
      <c r="U831" s="307"/>
      <c r="V831" s="309"/>
      <c r="W831" s="248"/>
      <c r="X831" s="342"/>
      <c r="Y831" s="336"/>
      <c r="Z831" s="123"/>
      <c r="AA831" s="33"/>
      <c r="AB831" s="123"/>
      <c r="AC831" s="33"/>
      <c r="AD831" s="123"/>
      <c r="AE831" s="33"/>
      <c r="AF831" s="123"/>
      <c r="AG831" s="243"/>
      <c r="AH831" s="33"/>
      <c r="AI831" s="245"/>
      <c r="AJ831" s="125"/>
      <c r="AK831" s="91"/>
      <c r="AL831" s="126"/>
      <c r="AM831" s="91"/>
      <c r="AN831" s="91"/>
      <c r="AO831" s="197">
        <f t="shared" si="51"/>
        <v>0</v>
      </c>
      <c r="AP831" s="126"/>
      <c r="AQ831" s="216"/>
      <c r="AR831" s="127"/>
      <c r="AS831" s="269"/>
      <c r="AT831" s="94"/>
      <c r="AU831" s="84"/>
      <c r="AV831" s="80"/>
      <c r="AW831" s="81"/>
      <c r="AX831" s="77"/>
      <c r="AY831" s="107"/>
      <c r="AZ831" s="220">
        <f t="shared" si="48"/>
        <v>0</v>
      </c>
      <c r="BA831" s="220">
        <f t="shared" si="49"/>
        <v>0</v>
      </c>
    </row>
    <row r="832" spans="1:53" ht="50.1" customHeight="1" x14ac:dyDescent="0.25">
      <c r="A832" s="17">
        <f t="shared" si="50"/>
        <v>818</v>
      </c>
      <c r="B832" s="229"/>
      <c r="C832" s="222"/>
      <c r="D832" s="112"/>
      <c r="E832" s="128"/>
      <c r="F832" s="129"/>
      <c r="G832" s="130"/>
      <c r="H832" s="131"/>
      <c r="I832" s="132"/>
      <c r="J832" s="108"/>
      <c r="K832" s="133"/>
      <c r="L832" s="134"/>
      <c r="M832" s="334"/>
      <c r="N832" s="343"/>
      <c r="O832" s="135"/>
      <c r="P832" s="82"/>
      <c r="Q832" s="135"/>
      <c r="R832" s="82"/>
      <c r="S832" s="299"/>
      <c r="T832" s="305"/>
      <c r="U832" s="298"/>
      <c r="V832" s="304"/>
      <c r="W832" s="249"/>
      <c r="X832" s="344"/>
      <c r="Y832" s="337"/>
      <c r="Z832" s="33"/>
      <c r="AA832" s="83"/>
      <c r="AB832" s="33"/>
      <c r="AC832" s="83"/>
      <c r="AD832" s="33"/>
      <c r="AE832" s="83"/>
      <c r="AF832" s="33"/>
      <c r="AG832" s="244"/>
      <c r="AH832" s="83"/>
      <c r="AI832" s="246"/>
      <c r="AJ832" s="102"/>
      <c r="AK832" s="92"/>
      <c r="AL832" s="91"/>
      <c r="AM832" s="92"/>
      <c r="AN832" s="351"/>
      <c r="AO832" s="197">
        <f t="shared" si="51"/>
        <v>0</v>
      </c>
      <c r="AP832" s="91"/>
      <c r="AQ832" s="217"/>
      <c r="AR832" s="103"/>
      <c r="AS832" s="264"/>
      <c r="AT832" s="94"/>
      <c r="AU832" s="84"/>
      <c r="AV832" s="136"/>
      <c r="AW832" s="77"/>
      <c r="AX832" s="137"/>
      <c r="AY832" s="138"/>
      <c r="AZ832" s="220">
        <f t="shared" si="48"/>
        <v>0</v>
      </c>
      <c r="BA832" s="220">
        <f t="shared" si="49"/>
        <v>0</v>
      </c>
    </row>
    <row r="833" spans="1:53" ht="50.1" customHeight="1" x14ac:dyDescent="0.25">
      <c r="A833" s="17">
        <f t="shared" si="50"/>
        <v>819</v>
      </c>
      <c r="B833" s="228"/>
      <c r="C833" s="221"/>
      <c r="D833" s="88"/>
      <c r="E833" s="100"/>
      <c r="F833" s="95"/>
      <c r="G833" s="114"/>
      <c r="H833" s="96"/>
      <c r="I833" s="97"/>
      <c r="J833" s="98"/>
      <c r="K833" s="101"/>
      <c r="L833" s="124"/>
      <c r="M833" s="333"/>
      <c r="N833" s="341"/>
      <c r="O833" s="82"/>
      <c r="P833" s="93"/>
      <c r="Q833" s="82"/>
      <c r="R833" s="93"/>
      <c r="S833" s="298"/>
      <c r="T833" s="304"/>
      <c r="U833" s="307"/>
      <c r="V833" s="309"/>
      <c r="W833" s="248"/>
      <c r="X833" s="342"/>
      <c r="Y833" s="336"/>
      <c r="Z833" s="123"/>
      <c r="AA833" s="33"/>
      <c r="AB833" s="123"/>
      <c r="AC833" s="33"/>
      <c r="AD833" s="123"/>
      <c r="AE833" s="33"/>
      <c r="AF833" s="123"/>
      <c r="AG833" s="243"/>
      <c r="AH833" s="33"/>
      <c r="AI833" s="245"/>
      <c r="AJ833" s="125"/>
      <c r="AK833" s="91"/>
      <c r="AL833" s="126"/>
      <c r="AM833" s="91"/>
      <c r="AN833" s="91"/>
      <c r="AO833" s="197">
        <f t="shared" si="51"/>
        <v>0</v>
      </c>
      <c r="AP833" s="126"/>
      <c r="AQ833" s="216"/>
      <c r="AR833" s="127"/>
      <c r="AS833" s="269"/>
      <c r="AT833" s="94"/>
      <c r="AU833" s="84"/>
      <c r="AV833" s="80"/>
      <c r="AW833" s="81"/>
      <c r="AX833" s="77"/>
      <c r="AY833" s="107"/>
      <c r="AZ833" s="220">
        <f t="shared" si="48"/>
        <v>0</v>
      </c>
      <c r="BA833" s="220">
        <f t="shared" si="49"/>
        <v>0</v>
      </c>
    </row>
    <row r="834" spans="1:53" ht="50.1" customHeight="1" x14ac:dyDescent="0.25">
      <c r="A834" s="17">
        <f t="shared" si="50"/>
        <v>820</v>
      </c>
      <c r="B834" s="229"/>
      <c r="C834" s="222"/>
      <c r="D834" s="112"/>
      <c r="E834" s="128"/>
      <c r="F834" s="129"/>
      <c r="G834" s="130"/>
      <c r="H834" s="131"/>
      <c r="I834" s="132"/>
      <c r="J834" s="108"/>
      <c r="K834" s="133"/>
      <c r="L834" s="134"/>
      <c r="M834" s="334"/>
      <c r="N834" s="343"/>
      <c r="O834" s="135"/>
      <c r="P834" s="82"/>
      <c r="Q834" s="135"/>
      <c r="R834" s="82"/>
      <c r="S834" s="299"/>
      <c r="T834" s="305"/>
      <c r="U834" s="298"/>
      <c r="V834" s="304"/>
      <c r="W834" s="249"/>
      <c r="X834" s="344"/>
      <c r="Y834" s="337"/>
      <c r="Z834" s="33"/>
      <c r="AA834" s="83"/>
      <c r="AB834" s="33"/>
      <c r="AC834" s="83"/>
      <c r="AD834" s="33"/>
      <c r="AE834" s="83"/>
      <c r="AF834" s="33"/>
      <c r="AG834" s="244"/>
      <c r="AH834" s="83"/>
      <c r="AI834" s="246"/>
      <c r="AJ834" s="102"/>
      <c r="AK834" s="92"/>
      <c r="AL834" s="91"/>
      <c r="AM834" s="92"/>
      <c r="AN834" s="351"/>
      <c r="AO834" s="197">
        <f t="shared" si="51"/>
        <v>0</v>
      </c>
      <c r="AP834" s="91"/>
      <c r="AQ834" s="217"/>
      <c r="AR834" s="103"/>
      <c r="AS834" s="264"/>
      <c r="AT834" s="94"/>
      <c r="AU834" s="84"/>
      <c r="AV834" s="136"/>
      <c r="AW834" s="77"/>
      <c r="AX834" s="137"/>
      <c r="AY834" s="138"/>
      <c r="AZ834" s="220">
        <f t="shared" si="48"/>
        <v>0</v>
      </c>
      <c r="BA834" s="220">
        <f t="shared" si="49"/>
        <v>0</v>
      </c>
    </row>
    <row r="835" spans="1:53" ht="50.1" customHeight="1" x14ac:dyDescent="0.25">
      <c r="A835" s="17">
        <f t="shared" si="50"/>
        <v>821</v>
      </c>
      <c r="B835" s="228"/>
      <c r="C835" s="221"/>
      <c r="D835" s="88"/>
      <c r="E835" s="100"/>
      <c r="F835" s="95"/>
      <c r="G835" s="114"/>
      <c r="H835" s="96"/>
      <c r="I835" s="97"/>
      <c r="J835" s="98"/>
      <c r="K835" s="101"/>
      <c r="L835" s="124"/>
      <c r="M835" s="333"/>
      <c r="N835" s="341"/>
      <c r="O835" s="82"/>
      <c r="P835" s="93"/>
      <c r="Q835" s="82"/>
      <c r="R835" s="93"/>
      <c r="S835" s="298"/>
      <c r="T835" s="304"/>
      <c r="U835" s="307"/>
      <c r="V835" s="309"/>
      <c r="W835" s="248"/>
      <c r="X835" s="342"/>
      <c r="Y835" s="336"/>
      <c r="Z835" s="123"/>
      <c r="AA835" s="33"/>
      <c r="AB835" s="123"/>
      <c r="AC835" s="33"/>
      <c r="AD835" s="123"/>
      <c r="AE835" s="33"/>
      <c r="AF835" s="123"/>
      <c r="AG835" s="243"/>
      <c r="AH835" s="33"/>
      <c r="AI835" s="245"/>
      <c r="AJ835" s="125"/>
      <c r="AK835" s="91"/>
      <c r="AL835" s="126"/>
      <c r="AM835" s="91"/>
      <c r="AN835" s="91"/>
      <c r="AO835" s="197">
        <f t="shared" si="51"/>
        <v>0</v>
      </c>
      <c r="AP835" s="126"/>
      <c r="AQ835" s="216"/>
      <c r="AR835" s="127"/>
      <c r="AS835" s="269"/>
      <c r="AT835" s="94"/>
      <c r="AU835" s="84"/>
      <c r="AV835" s="80"/>
      <c r="AW835" s="81"/>
      <c r="AX835" s="77"/>
      <c r="AY835" s="107"/>
      <c r="AZ835" s="220">
        <f t="shared" si="48"/>
        <v>0</v>
      </c>
      <c r="BA835" s="220">
        <f t="shared" si="49"/>
        <v>0</v>
      </c>
    </row>
    <row r="836" spans="1:53" ht="50.1" customHeight="1" x14ac:dyDescent="0.25">
      <c r="A836" s="17">
        <f t="shared" si="50"/>
        <v>822</v>
      </c>
      <c r="B836" s="229"/>
      <c r="C836" s="222"/>
      <c r="D836" s="112"/>
      <c r="E836" s="128"/>
      <c r="F836" s="129"/>
      <c r="G836" s="130"/>
      <c r="H836" s="131"/>
      <c r="I836" s="132"/>
      <c r="J836" s="108"/>
      <c r="K836" s="133"/>
      <c r="L836" s="134"/>
      <c r="M836" s="334"/>
      <c r="N836" s="343"/>
      <c r="O836" s="135"/>
      <c r="P836" s="82"/>
      <c r="Q836" s="135"/>
      <c r="R836" s="82"/>
      <c r="S836" s="299"/>
      <c r="T836" s="305"/>
      <c r="U836" s="298"/>
      <c r="V836" s="304"/>
      <c r="W836" s="249"/>
      <c r="X836" s="344"/>
      <c r="Y836" s="337"/>
      <c r="Z836" s="33"/>
      <c r="AA836" s="83"/>
      <c r="AB836" s="33"/>
      <c r="AC836" s="83"/>
      <c r="AD836" s="33"/>
      <c r="AE836" s="83"/>
      <c r="AF836" s="33"/>
      <c r="AG836" s="244"/>
      <c r="AH836" s="83"/>
      <c r="AI836" s="246"/>
      <c r="AJ836" s="102"/>
      <c r="AK836" s="92"/>
      <c r="AL836" s="91"/>
      <c r="AM836" s="92"/>
      <c r="AN836" s="351"/>
      <c r="AO836" s="197">
        <f t="shared" si="51"/>
        <v>0</v>
      </c>
      <c r="AP836" s="91"/>
      <c r="AQ836" s="217"/>
      <c r="AR836" s="103"/>
      <c r="AS836" s="264"/>
      <c r="AT836" s="94"/>
      <c r="AU836" s="84"/>
      <c r="AV836" s="136"/>
      <c r="AW836" s="77"/>
      <c r="AX836" s="137"/>
      <c r="AY836" s="138"/>
      <c r="AZ836" s="220">
        <f t="shared" si="48"/>
        <v>0</v>
      </c>
      <c r="BA836" s="220">
        <f t="shared" si="49"/>
        <v>0</v>
      </c>
    </row>
    <row r="837" spans="1:53" ht="50.1" customHeight="1" x14ac:dyDescent="0.25">
      <c r="A837" s="17">
        <f t="shared" si="50"/>
        <v>823</v>
      </c>
      <c r="B837" s="228"/>
      <c r="C837" s="221"/>
      <c r="D837" s="88"/>
      <c r="E837" s="100"/>
      <c r="F837" s="95"/>
      <c r="G837" s="114"/>
      <c r="H837" s="96"/>
      <c r="I837" s="97"/>
      <c r="J837" s="98"/>
      <c r="K837" s="101"/>
      <c r="L837" s="124"/>
      <c r="M837" s="333"/>
      <c r="N837" s="341"/>
      <c r="O837" s="82"/>
      <c r="P837" s="93"/>
      <c r="Q837" s="82"/>
      <c r="R837" s="93"/>
      <c r="S837" s="298"/>
      <c r="T837" s="304"/>
      <c r="U837" s="307"/>
      <c r="V837" s="309"/>
      <c r="W837" s="248"/>
      <c r="X837" s="342"/>
      <c r="Y837" s="336"/>
      <c r="Z837" s="123"/>
      <c r="AA837" s="33"/>
      <c r="AB837" s="123"/>
      <c r="AC837" s="33"/>
      <c r="AD837" s="123"/>
      <c r="AE837" s="33"/>
      <c r="AF837" s="123"/>
      <c r="AG837" s="243"/>
      <c r="AH837" s="33"/>
      <c r="AI837" s="245"/>
      <c r="AJ837" s="125"/>
      <c r="AK837" s="91"/>
      <c r="AL837" s="126"/>
      <c r="AM837" s="91"/>
      <c r="AN837" s="91"/>
      <c r="AO837" s="197">
        <f t="shared" si="51"/>
        <v>0</v>
      </c>
      <c r="AP837" s="126"/>
      <c r="AQ837" s="216"/>
      <c r="AR837" s="127"/>
      <c r="AS837" s="269"/>
      <c r="AT837" s="94"/>
      <c r="AU837" s="84"/>
      <c r="AV837" s="80"/>
      <c r="AW837" s="81"/>
      <c r="AX837" s="77"/>
      <c r="AY837" s="107"/>
      <c r="AZ837" s="220">
        <f t="shared" si="48"/>
        <v>0</v>
      </c>
      <c r="BA837" s="220">
        <f t="shared" si="49"/>
        <v>0</v>
      </c>
    </row>
    <row r="838" spans="1:53" ht="50.1" customHeight="1" x14ac:dyDescent="0.25">
      <c r="A838" s="17">
        <f t="shared" si="50"/>
        <v>824</v>
      </c>
      <c r="B838" s="229"/>
      <c r="C838" s="222"/>
      <c r="D838" s="112"/>
      <c r="E838" s="128"/>
      <c r="F838" s="129"/>
      <c r="G838" s="130"/>
      <c r="H838" s="131"/>
      <c r="I838" s="132"/>
      <c r="J838" s="108"/>
      <c r="K838" s="133"/>
      <c r="L838" s="134"/>
      <c r="M838" s="334"/>
      <c r="N838" s="343"/>
      <c r="O838" s="135"/>
      <c r="P838" s="82"/>
      <c r="Q838" s="135"/>
      <c r="R838" s="82"/>
      <c r="S838" s="299"/>
      <c r="T838" s="305"/>
      <c r="U838" s="298"/>
      <c r="V838" s="304"/>
      <c r="W838" s="249"/>
      <c r="X838" s="344"/>
      <c r="Y838" s="337"/>
      <c r="Z838" s="33"/>
      <c r="AA838" s="83"/>
      <c r="AB838" s="33"/>
      <c r="AC838" s="83"/>
      <c r="AD838" s="33"/>
      <c r="AE838" s="83"/>
      <c r="AF838" s="33"/>
      <c r="AG838" s="244"/>
      <c r="AH838" s="83"/>
      <c r="AI838" s="246"/>
      <c r="AJ838" s="102"/>
      <c r="AK838" s="92"/>
      <c r="AL838" s="91"/>
      <c r="AM838" s="92"/>
      <c r="AN838" s="351"/>
      <c r="AO838" s="197">
        <f t="shared" si="51"/>
        <v>0</v>
      </c>
      <c r="AP838" s="91"/>
      <c r="AQ838" s="217"/>
      <c r="AR838" s="103"/>
      <c r="AS838" s="264"/>
      <c r="AT838" s="94"/>
      <c r="AU838" s="84"/>
      <c r="AV838" s="136"/>
      <c r="AW838" s="77"/>
      <c r="AX838" s="137"/>
      <c r="AY838" s="138"/>
      <c r="AZ838" s="220">
        <f t="shared" si="48"/>
        <v>0</v>
      </c>
      <c r="BA838" s="220">
        <f t="shared" si="49"/>
        <v>0</v>
      </c>
    </row>
    <row r="839" spans="1:53" ht="50.1" customHeight="1" x14ac:dyDescent="0.25">
      <c r="A839" s="17">
        <f t="shared" si="50"/>
        <v>825</v>
      </c>
      <c r="B839" s="228"/>
      <c r="C839" s="221"/>
      <c r="D839" s="88"/>
      <c r="E839" s="100"/>
      <c r="F839" s="95"/>
      <c r="G839" s="114"/>
      <c r="H839" s="96"/>
      <c r="I839" s="97"/>
      <c r="J839" s="98"/>
      <c r="K839" s="101"/>
      <c r="L839" s="124"/>
      <c r="M839" s="333"/>
      <c r="N839" s="341"/>
      <c r="O839" s="82"/>
      <c r="P839" s="93"/>
      <c r="Q839" s="82"/>
      <c r="R839" s="93"/>
      <c r="S839" s="298"/>
      <c r="T839" s="304"/>
      <c r="U839" s="307"/>
      <c r="V839" s="309"/>
      <c r="W839" s="248"/>
      <c r="X839" s="342"/>
      <c r="Y839" s="336"/>
      <c r="Z839" s="123"/>
      <c r="AA839" s="33"/>
      <c r="AB839" s="123"/>
      <c r="AC839" s="33"/>
      <c r="AD839" s="123"/>
      <c r="AE839" s="33"/>
      <c r="AF839" s="123"/>
      <c r="AG839" s="243"/>
      <c r="AH839" s="33"/>
      <c r="AI839" s="245"/>
      <c r="AJ839" s="125"/>
      <c r="AK839" s="91"/>
      <c r="AL839" s="126"/>
      <c r="AM839" s="91"/>
      <c r="AN839" s="91"/>
      <c r="AO839" s="197">
        <f t="shared" si="51"/>
        <v>0</v>
      </c>
      <c r="AP839" s="126"/>
      <c r="AQ839" s="216"/>
      <c r="AR839" s="127"/>
      <c r="AS839" s="269"/>
      <c r="AT839" s="94"/>
      <c r="AU839" s="84"/>
      <c r="AV839" s="80"/>
      <c r="AW839" s="81"/>
      <c r="AX839" s="77"/>
      <c r="AY839" s="107"/>
      <c r="AZ839" s="220">
        <f t="shared" si="48"/>
        <v>0</v>
      </c>
      <c r="BA839" s="220">
        <f t="shared" si="49"/>
        <v>0</v>
      </c>
    </row>
    <row r="840" spans="1:53" ht="50.1" customHeight="1" x14ac:dyDescent="0.25">
      <c r="A840" s="17">
        <f t="shared" si="50"/>
        <v>826</v>
      </c>
      <c r="B840" s="229"/>
      <c r="C840" s="222"/>
      <c r="D840" s="112"/>
      <c r="E840" s="128"/>
      <c r="F840" s="129"/>
      <c r="G840" s="130"/>
      <c r="H840" s="131"/>
      <c r="I840" s="132"/>
      <c r="J840" s="108"/>
      <c r="K840" s="133"/>
      <c r="L840" s="134"/>
      <c r="M840" s="334"/>
      <c r="N840" s="343"/>
      <c r="O840" s="135"/>
      <c r="P840" s="82"/>
      <c r="Q840" s="135"/>
      <c r="R840" s="82"/>
      <c r="S840" s="299"/>
      <c r="T840" s="305"/>
      <c r="U840" s="298"/>
      <c r="V840" s="304"/>
      <c r="W840" s="249"/>
      <c r="X840" s="344"/>
      <c r="Y840" s="337"/>
      <c r="Z840" s="33"/>
      <c r="AA840" s="83"/>
      <c r="AB840" s="33"/>
      <c r="AC840" s="83"/>
      <c r="AD840" s="33"/>
      <c r="AE840" s="83"/>
      <c r="AF840" s="33"/>
      <c r="AG840" s="244"/>
      <c r="AH840" s="83"/>
      <c r="AI840" s="246"/>
      <c r="AJ840" s="102"/>
      <c r="AK840" s="92"/>
      <c r="AL840" s="91"/>
      <c r="AM840" s="92"/>
      <c r="AN840" s="351"/>
      <c r="AO840" s="197">
        <f t="shared" si="51"/>
        <v>0</v>
      </c>
      <c r="AP840" s="91"/>
      <c r="AQ840" s="217"/>
      <c r="AR840" s="103"/>
      <c r="AS840" s="264"/>
      <c r="AT840" s="94"/>
      <c r="AU840" s="84"/>
      <c r="AV840" s="136"/>
      <c r="AW840" s="77"/>
      <c r="AX840" s="137"/>
      <c r="AY840" s="138"/>
      <c r="AZ840" s="220">
        <f t="shared" si="48"/>
        <v>0</v>
      </c>
      <c r="BA840" s="220">
        <f t="shared" si="49"/>
        <v>0</v>
      </c>
    </row>
    <row r="841" spans="1:53" ht="50.1" customHeight="1" x14ac:dyDescent="0.25">
      <c r="A841" s="17">
        <f t="shared" si="50"/>
        <v>827</v>
      </c>
      <c r="B841" s="228"/>
      <c r="C841" s="221"/>
      <c r="D841" s="88"/>
      <c r="E841" s="100"/>
      <c r="F841" s="95"/>
      <c r="G841" s="114"/>
      <c r="H841" s="96"/>
      <c r="I841" s="97"/>
      <c r="J841" s="98"/>
      <c r="K841" s="101"/>
      <c r="L841" s="124"/>
      <c r="M841" s="333"/>
      <c r="N841" s="341"/>
      <c r="O841" s="82"/>
      <c r="P841" s="93"/>
      <c r="Q841" s="82"/>
      <c r="R841" s="93"/>
      <c r="S841" s="298"/>
      <c r="T841" s="304"/>
      <c r="U841" s="307"/>
      <c r="V841" s="309"/>
      <c r="W841" s="248"/>
      <c r="X841" s="342"/>
      <c r="Y841" s="336"/>
      <c r="Z841" s="123"/>
      <c r="AA841" s="33"/>
      <c r="AB841" s="123"/>
      <c r="AC841" s="33"/>
      <c r="AD841" s="123"/>
      <c r="AE841" s="33"/>
      <c r="AF841" s="123"/>
      <c r="AG841" s="243"/>
      <c r="AH841" s="33"/>
      <c r="AI841" s="245"/>
      <c r="AJ841" s="125"/>
      <c r="AK841" s="91"/>
      <c r="AL841" s="126"/>
      <c r="AM841" s="91"/>
      <c r="AN841" s="91"/>
      <c r="AO841" s="197">
        <f t="shared" si="51"/>
        <v>0</v>
      </c>
      <c r="AP841" s="126"/>
      <c r="AQ841" s="216"/>
      <c r="AR841" s="127"/>
      <c r="AS841" s="269"/>
      <c r="AT841" s="94"/>
      <c r="AU841" s="84"/>
      <c r="AV841" s="80"/>
      <c r="AW841" s="81"/>
      <c r="AX841" s="77"/>
      <c r="AY841" s="107"/>
      <c r="AZ841" s="220">
        <f t="shared" si="48"/>
        <v>0</v>
      </c>
      <c r="BA841" s="220">
        <f t="shared" si="49"/>
        <v>0</v>
      </c>
    </row>
    <row r="842" spans="1:53" ht="50.1" customHeight="1" x14ac:dyDescent="0.25">
      <c r="A842" s="17">
        <f t="shared" si="50"/>
        <v>828</v>
      </c>
      <c r="B842" s="229"/>
      <c r="C842" s="222"/>
      <c r="D842" s="112"/>
      <c r="E842" s="128"/>
      <c r="F842" s="129"/>
      <c r="G842" s="130"/>
      <c r="H842" s="131"/>
      <c r="I842" s="132"/>
      <c r="J842" s="108"/>
      <c r="K842" s="133"/>
      <c r="L842" s="134"/>
      <c r="M842" s="334"/>
      <c r="N842" s="343"/>
      <c r="O842" s="135"/>
      <c r="P842" s="82"/>
      <c r="Q842" s="135"/>
      <c r="R842" s="82"/>
      <c r="S842" s="299"/>
      <c r="T842" s="305"/>
      <c r="U842" s="298"/>
      <c r="V842" s="304"/>
      <c r="W842" s="249"/>
      <c r="X842" s="344"/>
      <c r="Y842" s="337"/>
      <c r="Z842" s="33"/>
      <c r="AA842" s="83"/>
      <c r="AB842" s="33"/>
      <c r="AC842" s="83"/>
      <c r="AD842" s="33"/>
      <c r="AE842" s="83"/>
      <c r="AF842" s="33"/>
      <c r="AG842" s="244"/>
      <c r="AH842" s="83"/>
      <c r="AI842" s="246"/>
      <c r="AJ842" s="102"/>
      <c r="AK842" s="92"/>
      <c r="AL842" s="91"/>
      <c r="AM842" s="92"/>
      <c r="AN842" s="351"/>
      <c r="AO842" s="197">
        <f t="shared" si="51"/>
        <v>0</v>
      </c>
      <c r="AP842" s="91"/>
      <c r="AQ842" s="217"/>
      <c r="AR842" s="103"/>
      <c r="AS842" s="264"/>
      <c r="AT842" s="94"/>
      <c r="AU842" s="84"/>
      <c r="AV842" s="136"/>
      <c r="AW842" s="77"/>
      <c r="AX842" s="137"/>
      <c r="AY842" s="138"/>
      <c r="AZ842" s="220">
        <f t="shared" si="48"/>
        <v>0</v>
      </c>
      <c r="BA842" s="220">
        <f t="shared" si="49"/>
        <v>0</v>
      </c>
    </row>
    <row r="843" spans="1:53" ht="50.1" customHeight="1" x14ac:dyDescent="0.25">
      <c r="A843" s="17">
        <f t="shared" si="50"/>
        <v>829</v>
      </c>
      <c r="B843" s="228"/>
      <c r="C843" s="221"/>
      <c r="D843" s="88"/>
      <c r="E843" s="100"/>
      <c r="F843" s="95"/>
      <c r="G843" s="114"/>
      <c r="H843" s="96"/>
      <c r="I843" s="97"/>
      <c r="J843" s="98"/>
      <c r="K843" s="101"/>
      <c r="L843" s="124"/>
      <c r="M843" s="333"/>
      <c r="N843" s="341"/>
      <c r="O843" s="82"/>
      <c r="P843" s="93"/>
      <c r="Q843" s="82"/>
      <c r="R843" s="93"/>
      <c r="S843" s="298"/>
      <c r="T843" s="304"/>
      <c r="U843" s="307"/>
      <c r="V843" s="309"/>
      <c r="W843" s="248"/>
      <c r="X843" s="342"/>
      <c r="Y843" s="336"/>
      <c r="Z843" s="123"/>
      <c r="AA843" s="33"/>
      <c r="AB843" s="123"/>
      <c r="AC843" s="33"/>
      <c r="AD843" s="123"/>
      <c r="AE843" s="33"/>
      <c r="AF843" s="123"/>
      <c r="AG843" s="243"/>
      <c r="AH843" s="33"/>
      <c r="AI843" s="245"/>
      <c r="AJ843" s="125"/>
      <c r="AK843" s="91"/>
      <c r="AL843" s="126"/>
      <c r="AM843" s="91"/>
      <c r="AN843" s="91"/>
      <c r="AO843" s="197">
        <f t="shared" si="51"/>
        <v>0</v>
      </c>
      <c r="AP843" s="126"/>
      <c r="AQ843" s="216"/>
      <c r="AR843" s="127"/>
      <c r="AS843" s="269"/>
      <c r="AT843" s="94"/>
      <c r="AU843" s="84"/>
      <c r="AV843" s="80"/>
      <c r="AW843" s="81"/>
      <c r="AX843" s="77"/>
      <c r="AY843" s="107"/>
      <c r="AZ843" s="220">
        <f t="shared" si="48"/>
        <v>0</v>
      </c>
      <c r="BA843" s="220">
        <f t="shared" si="49"/>
        <v>0</v>
      </c>
    </row>
    <row r="844" spans="1:53" ht="50.1" customHeight="1" x14ac:dyDescent="0.25">
      <c r="A844" s="17">
        <f t="shared" si="50"/>
        <v>830</v>
      </c>
      <c r="B844" s="229"/>
      <c r="C844" s="222"/>
      <c r="D844" s="112"/>
      <c r="E844" s="128"/>
      <c r="F844" s="129"/>
      <c r="G844" s="130"/>
      <c r="H844" s="131"/>
      <c r="I844" s="132"/>
      <c r="J844" s="108"/>
      <c r="K844" s="133"/>
      <c r="L844" s="134"/>
      <c r="M844" s="334"/>
      <c r="N844" s="343"/>
      <c r="O844" s="135"/>
      <c r="P844" s="82"/>
      <c r="Q844" s="135"/>
      <c r="R844" s="82"/>
      <c r="S844" s="299"/>
      <c r="T844" s="305"/>
      <c r="U844" s="298"/>
      <c r="V844" s="304"/>
      <c r="W844" s="249"/>
      <c r="X844" s="344"/>
      <c r="Y844" s="337"/>
      <c r="Z844" s="33"/>
      <c r="AA844" s="83"/>
      <c r="AB844" s="33"/>
      <c r="AC844" s="83"/>
      <c r="AD844" s="33"/>
      <c r="AE844" s="83"/>
      <c r="AF844" s="33"/>
      <c r="AG844" s="244"/>
      <c r="AH844" s="83"/>
      <c r="AI844" s="246"/>
      <c r="AJ844" s="102"/>
      <c r="AK844" s="92"/>
      <c r="AL844" s="91"/>
      <c r="AM844" s="92"/>
      <c r="AN844" s="351"/>
      <c r="AO844" s="197">
        <f t="shared" si="51"/>
        <v>0</v>
      </c>
      <c r="AP844" s="91"/>
      <c r="AQ844" s="217"/>
      <c r="AR844" s="103"/>
      <c r="AS844" s="264"/>
      <c r="AT844" s="94"/>
      <c r="AU844" s="84"/>
      <c r="AV844" s="136"/>
      <c r="AW844" s="77"/>
      <c r="AX844" s="137"/>
      <c r="AY844" s="138"/>
      <c r="AZ844" s="220">
        <f t="shared" si="48"/>
        <v>0</v>
      </c>
      <c r="BA844" s="220">
        <f t="shared" si="49"/>
        <v>0</v>
      </c>
    </row>
    <row r="845" spans="1:53" ht="50.1" customHeight="1" x14ac:dyDescent="0.25">
      <c r="A845" s="17">
        <f t="shared" si="50"/>
        <v>831</v>
      </c>
      <c r="B845" s="228"/>
      <c r="C845" s="221"/>
      <c r="D845" s="88"/>
      <c r="E845" s="100"/>
      <c r="F845" s="95"/>
      <c r="G845" s="114"/>
      <c r="H845" s="96"/>
      <c r="I845" s="97"/>
      <c r="J845" s="98"/>
      <c r="K845" s="101"/>
      <c r="L845" s="124"/>
      <c r="M845" s="333"/>
      <c r="N845" s="341"/>
      <c r="O845" s="82"/>
      <c r="P845" s="93"/>
      <c r="Q845" s="82"/>
      <c r="R845" s="93"/>
      <c r="S845" s="298"/>
      <c r="T845" s="304"/>
      <c r="U845" s="307"/>
      <c r="V845" s="309"/>
      <c r="W845" s="248"/>
      <c r="X845" s="342"/>
      <c r="Y845" s="336"/>
      <c r="Z845" s="123"/>
      <c r="AA845" s="33"/>
      <c r="AB845" s="123"/>
      <c r="AC845" s="33"/>
      <c r="AD845" s="123"/>
      <c r="AE845" s="33"/>
      <c r="AF845" s="123"/>
      <c r="AG845" s="243"/>
      <c r="AH845" s="33"/>
      <c r="AI845" s="245"/>
      <c r="AJ845" s="125"/>
      <c r="AK845" s="91"/>
      <c r="AL845" s="126"/>
      <c r="AM845" s="91"/>
      <c r="AN845" s="91"/>
      <c r="AO845" s="197">
        <f t="shared" si="51"/>
        <v>0</v>
      </c>
      <c r="AP845" s="126"/>
      <c r="AQ845" s="216"/>
      <c r="AR845" s="127"/>
      <c r="AS845" s="269"/>
      <c r="AT845" s="94"/>
      <c r="AU845" s="84"/>
      <c r="AV845" s="80"/>
      <c r="AW845" s="81"/>
      <c r="AX845" s="77"/>
      <c r="AY845" s="107"/>
      <c r="AZ845" s="220">
        <f t="shared" si="48"/>
        <v>0</v>
      </c>
      <c r="BA845" s="220">
        <f t="shared" si="49"/>
        <v>0</v>
      </c>
    </row>
    <row r="846" spans="1:53" ht="50.1" customHeight="1" x14ac:dyDescent="0.25">
      <c r="A846" s="17">
        <f t="shared" si="50"/>
        <v>832</v>
      </c>
      <c r="B846" s="229"/>
      <c r="C846" s="222"/>
      <c r="D846" s="112"/>
      <c r="E846" s="128"/>
      <c r="F846" s="129"/>
      <c r="G846" s="130"/>
      <c r="H846" s="131"/>
      <c r="I846" s="132"/>
      <c r="J846" s="108"/>
      <c r="K846" s="133"/>
      <c r="L846" s="134"/>
      <c r="M846" s="334"/>
      <c r="N846" s="343"/>
      <c r="O846" s="135"/>
      <c r="P846" s="82"/>
      <c r="Q846" s="135"/>
      <c r="R846" s="82"/>
      <c r="S846" s="299"/>
      <c r="T846" s="305"/>
      <c r="U846" s="298"/>
      <c r="V846" s="304"/>
      <c r="W846" s="249"/>
      <c r="X846" s="344"/>
      <c r="Y846" s="337"/>
      <c r="Z846" s="33"/>
      <c r="AA846" s="83"/>
      <c r="AB846" s="33"/>
      <c r="AC846" s="83"/>
      <c r="AD846" s="33"/>
      <c r="AE846" s="83"/>
      <c r="AF846" s="33"/>
      <c r="AG846" s="244"/>
      <c r="AH846" s="83"/>
      <c r="AI846" s="246"/>
      <c r="AJ846" s="102"/>
      <c r="AK846" s="92"/>
      <c r="AL846" s="91"/>
      <c r="AM846" s="92"/>
      <c r="AN846" s="351"/>
      <c r="AO846" s="197">
        <f t="shared" si="51"/>
        <v>0</v>
      </c>
      <c r="AP846" s="91"/>
      <c r="AQ846" s="217"/>
      <c r="AR846" s="103"/>
      <c r="AS846" s="264"/>
      <c r="AT846" s="94"/>
      <c r="AU846" s="84"/>
      <c r="AV846" s="136"/>
      <c r="AW846" s="77"/>
      <c r="AX846" s="137"/>
      <c r="AY846" s="138"/>
      <c r="AZ846" s="220">
        <f t="shared" si="48"/>
        <v>0</v>
      </c>
      <c r="BA846" s="220">
        <f t="shared" si="49"/>
        <v>0</v>
      </c>
    </row>
    <row r="847" spans="1:53" ht="50.1" customHeight="1" x14ac:dyDescent="0.25">
      <c r="A847" s="17">
        <f t="shared" si="50"/>
        <v>833</v>
      </c>
      <c r="B847" s="228"/>
      <c r="C847" s="221"/>
      <c r="D847" s="88"/>
      <c r="E847" s="100"/>
      <c r="F847" s="95"/>
      <c r="G847" s="114"/>
      <c r="H847" s="96"/>
      <c r="I847" s="97"/>
      <c r="J847" s="98"/>
      <c r="K847" s="101"/>
      <c r="L847" s="124"/>
      <c r="M847" s="333"/>
      <c r="N847" s="341"/>
      <c r="O847" s="82"/>
      <c r="P847" s="93"/>
      <c r="Q847" s="82"/>
      <c r="R847" s="93"/>
      <c r="S847" s="298"/>
      <c r="T847" s="304"/>
      <c r="U847" s="307"/>
      <c r="V847" s="309"/>
      <c r="W847" s="248"/>
      <c r="X847" s="342"/>
      <c r="Y847" s="336"/>
      <c r="Z847" s="123"/>
      <c r="AA847" s="33"/>
      <c r="AB847" s="123"/>
      <c r="AC847" s="33"/>
      <c r="AD847" s="123"/>
      <c r="AE847" s="33"/>
      <c r="AF847" s="123"/>
      <c r="AG847" s="243"/>
      <c r="AH847" s="33"/>
      <c r="AI847" s="245"/>
      <c r="AJ847" s="125"/>
      <c r="AK847" s="91"/>
      <c r="AL847" s="126"/>
      <c r="AM847" s="91"/>
      <c r="AN847" s="91"/>
      <c r="AO847" s="197">
        <f t="shared" si="51"/>
        <v>0</v>
      </c>
      <c r="AP847" s="126"/>
      <c r="AQ847" s="216"/>
      <c r="AR847" s="127"/>
      <c r="AS847" s="269"/>
      <c r="AT847" s="94"/>
      <c r="AU847" s="84"/>
      <c r="AV847" s="80"/>
      <c r="AW847" s="81"/>
      <c r="AX847" s="77"/>
      <c r="AY847" s="107"/>
      <c r="AZ847" s="220">
        <f t="shared" ref="AZ847:AZ910" si="52">M847-B847</f>
        <v>0</v>
      </c>
      <c r="BA847" s="220">
        <f t="shared" ref="BA847:BA910" si="53">AU847-M847</f>
        <v>0</v>
      </c>
    </row>
    <row r="848" spans="1:53" ht="50.1" customHeight="1" x14ac:dyDescent="0.25">
      <c r="A848" s="17">
        <f t="shared" ref="A848:A911" si="54">ROW(A834)</f>
        <v>834</v>
      </c>
      <c r="B848" s="229"/>
      <c r="C848" s="222"/>
      <c r="D848" s="112"/>
      <c r="E848" s="128"/>
      <c r="F848" s="129"/>
      <c r="G848" s="130"/>
      <c r="H848" s="131"/>
      <c r="I848" s="132"/>
      <c r="J848" s="108"/>
      <c r="K848" s="133"/>
      <c r="L848" s="134"/>
      <c r="M848" s="334"/>
      <c r="N848" s="343"/>
      <c r="O848" s="135"/>
      <c r="P848" s="82"/>
      <c r="Q848" s="135"/>
      <c r="R848" s="82"/>
      <c r="S848" s="299"/>
      <c r="T848" s="305"/>
      <c r="U848" s="298"/>
      <c r="V848" s="304"/>
      <c r="W848" s="249"/>
      <c r="X848" s="344"/>
      <c r="Y848" s="337"/>
      <c r="Z848" s="33"/>
      <c r="AA848" s="83"/>
      <c r="AB848" s="33"/>
      <c r="AC848" s="83"/>
      <c r="AD848" s="33"/>
      <c r="AE848" s="83"/>
      <c r="AF848" s="33"/>
      <c r="AG848" s="244"/>
      <c r="AH848" s="83"/>
      <c r="AI848" s="246"/>
      <c r="AJ848" s="102"/>
      <c r="AK848" s="92"/>
      <c r="AL848" s="91"/>
      <c r="AM848" s="92"/>
      <c r="AN848" s="351"/>
      <c r="AO848" s="197">
        <f t="shared" ref="AO848:AO911" si="55">AJ848-AK848-AL848-AM848-AN848</f>
        <v>0</v>
      </c>
      <c r="AP848" s="91"/>
      <c r="AQ848" s="217"/>
      <c r="AR848" s="103"/>
      <c r="AS848" s="264"/>
      <c r="AT848" s="94"/>
      <c r="AU848" s="84"/>
      <c r="AV848" s="136"/>
      <c r="AW848" s="77"/>
      <c r="AX848" s="137"/>
      <c r="AY848" s="138"/>
      <c r="AZ848" s="220">
        <f t="shared" si="52"/>
        <v>0</v>
      </c>
      <c r="BA848" s="220">
        <f t="shared" si="53"/>
        <v>0</v>
      </c>
    </row>
    <row r="849" spans="1:53" ht="50.1" customHeight="1" x14ac:dyDescent="0.25">
      <c r="A849" s="17">
        <f t="shared" si="54"/>
        <v>835</v>
      </c>
      <c r="B849" s="228"/>
      <c r="C849" s="221"/>
      <c r="D849" s="88"/>
      <c r="E849" s="100"/>
      <c r="F849" s="95"/>
      <c r="G849" s="114"/>
      <c r="H849" s="96"/>
      <c r="I849" s="97"/>
      <c r="J849" s="98"/>
      <c r="K849" s="101"/>
      <c r="L849" s="124"/>
      <c r="M849" s="333"/>
      <c r="N849" s="341"/>
      <c r="O849" s="82"/>
      <c r="P849" s="93"/>
      <c r="Q849" s="82"/>
      <c r="R849" s="93"/>
      <c r="S849" s="298"/>
      <c r="T849" s="304"/>
      <c r="U849" s="307"/>
      <c r="V849" s="309"/>
      <c r="W849" s="248"/>
      <c r="X849" s="342"/>
      <c r="Y849" s="336"/>
      <c r="Z849" s="123"/>
      <c r="AA849" s="33"/>
      <c r="AB849" s="123"/>
      <c r="AC849" s="33"/>
      <c r="AD849" s="123"/>
      <c r="AE849" s="33"/>
      <c r="AF849" s="123"/>
      <c r="AG849" s="243"/>
      <c r="AH849" s="33"/>
      <c r="AI849" s="245"/>
      <c r="AJ849" s="125"/>
      <c r="AK849" s="91"/>
      <c r="AL849" s="126"/>
      <c r="AM849" s="91"/>
      <c r="AN849" s="91"/>
      <c r="AO849" s="197">
        <f t="shared" si="55"/>
        <v>0</v>
      </c>
      <c r="AP849" s="126"/>
      <c r="AQ849" s="216"/>
      <c r="AR849" s="127"/>
      <c r="AS849" s="269"/>
      <c r="AT849" s="94"/>
      <c r="AU849" s="84"/>
      <c r="AV849" s="80"/>
      <c r="AW849" s="81"/>
      <c r="AX849" s="77"/>
      <c r="AY849" s="107"/>
      <c r="AZ849" s="220">
        <f t="shared" si="52"/>
        <v>0</v>
      </c>
      <c r="BA849" s="220">
        <f t="shared" si="53"/>
        <v>0</v>
      </c>
    </row>
    <row r="850" spans="1:53" ht="50.1" customHeight="1" x14ac:dyDescent="0.25">
      <c r="A850" s="17">
        <f t="shared" si="54"/>
        <v>836</v>
      </c>
      <c r="B850" s="229"/>
      <c r="C850" s="222"/>
      <c r="D850" s="112"/>
      <c r="E850" s="128"/>
      <c r="F850" s="129"/>
      <c r="G850" s="130"/>
      <c r="H850" s="131"/>
      <c r="I850" s="132"/>
      <c r="J850" s="108"/>
      <c r="K850" s="133"/>
      <c r="L850" s="134"/>
      <c r="M850" s="334"/>
      <c r="N850" s="343"/>
      <c r="O850" s="135"/>
      <c r="P850" s="82"/>
      <c r="Q850" s="135"/>
      <c r="R850" s="82"/>
      <c r="S850" s="299"/>
      <c r="T850" s="305"/>
      <c r="U850" s="298"/>
      <c r="V850" s="304"/>
      <c r="W850" s="249"/>
      <c r="X850" s="344"/>
      <c r="Y850" s="337"/>
      <c r="Z850" s="33"/>
      <c r="AA850" s="83"/>
      <c r="AB850" s="33"/>
      <c r="AC850" s="83"/>
      <c r="AD850" s="33"/>
      <c r="AE850" s="83"/>
      <c r="AF850" s="33"/>
      <c r="AG850" s="244"/>
      <c r="AH850" s="83"/>
      <c r="AI850" s="246"/>
      <c r="AJ850" s="102"/>
      <c r="AK850" s="92"/>
      <c r="AL850" s="91"/>
      <c r="AM850" s="92"/>
      <c r="AN850" s="351"/>
      <c r="AO850" s="197">
        <f t="shared" si="55"/>
        <v>0</v>
      </c>
      <c r="AP850" s="91"/>
      <c r="AQ850" s="217"/>
      <c r="AR850" s="103"/>
      <c r="AS850" s="264"/>
      <c r="AT850" s="94"/>
      <c r="AU850" s="84"/>
      <c r="AV850" s="136"/>
      <c r="AW850" s="77"/>
      <c r="AX850" s="137"/>
      <c r="AY850" s="138"/>
      <c r="AZ850" s="220">
        <f t="shared" si="52"/>
        <v>0</v>
      </c>
      <c r="BA850" s="220">
        <f t="shared" si="53"/>
        <v>0</v>
      </c>
    </row>
    <row r="851" spans="1:53" ht="50.1" customHeight="1" x14ac:dyDescent="0.25">
      <c r="A851" s="17">
        <f t="shared" si="54"/>
        <v>837</v>
      </c>
      <c r="B851" s="228"/>
      <c r="C851" s="221"/>
      <c r="D851" s="88"/>
      <c r="E851" s="100"/>
      <c r="F851" s="95"/>
      <c r="G851" s="114"/>
      <c r="H851" s="96"/>
      <c r="I851" s="97"/>
      <c r="J851" s="98"/>
      <c r="K851" s="101"/>
      <c r="L851" s="124"/>
      <c r="M851" s="333"/>
      <c r="N851" s="341"/>
      <c r="O851" s="82"/>
      <c r="P851" s="93"/>
      <c r="Q851" s="82"/>
      <c r="R851" s="93"/>
      <c r="S851" s="298"/>
      <c r="T851" s="304"/>
      <c r="U851" s="307"/>
      <c r="V851" s="309"/>
      <c r="W851" s="248"/>
      <c r="X851" s="342"/>
      <c r="Y851" s="336"/>
      <c r="Z851" s="123"/>
      <c r="AA851" s="33"/>
      <c r="AB851" s="123"/>
      <c r="AC851" s="33"/>
      <c r="AD851" s="123"/>
      <c r="AE851" s="33"/>
      <c r="AF851" s="123"/>
      <c r="AG851" s="243"/>
      <c r="AH851" s="33"/>
      <c r="AI851" s="245"/>
      <c r="AJ851" s="125"/>
      <c r="AK851" s="91"/>
      <c r="AL851" s="126"/>
      <c r="AM851" s="91"/>
      <c r="AN851" s="91"/>
      <c r="AO851" s="197">
        <f t="shared" si="55"/>
        <v>0</v>
      </c>
      <c r="AP851" s="126"/>
      <c r="AQ851" s="216"/>
      <c r="AR851" s="127"/>
      <c r="AS851" s="269"/>
      <c r="AT851" s="94"/>
      <c r="AU851" s="84"/>
      <c r="AV851" s="80"/>
      <c r="AW851" s="81"/>
      <c r="AX851" s="77"/>
      <c r="AY851" s="107"/>
      <c r="AZ851" s="220">
        <f t="shared" si="52"/>
        <v>0</v>
      </c>
      <c r="BA851" s="220">
        <f t="shared" si="53"/>
        <v>0</v>
      </c>
    </row>
    <row r="852" spans="1:53" ht="50.1" customHeight="1" x14ac:dyDescent="0.25">
      <c r="A852" s="17">
        <f t="shared" si="54"/>
        <v>838</v>
      </c>
      <c r="B852" s="229"/>
      <c r="C852" s="222"/>
      <c r="D852" s="112"/>
      <c r="E852" s="128"/>
      <c r="F852" s="129"/>
      <c r="G852" s="130"/>
      <c r="H852" s="131"/>
      <c r="I852" s="132"/>
      <c r="J852" s="108"/>
      <c r="K852" s="133"/>
      <c r="L852" s="134"/>
      <c r="M852" s="334"/>
      <c r="N852" s="343"/>
      <c r="O852" s="135"/>
      <c r="P852" s="82"/>
      <c r="Q852" s="135"/>
      <c r="R852" s="82"/>
      <c r="S852" s="299"/>
      <c r="T852" s="305"/>
      <c r="U852" s="298"/>
      <c r="V852" s="304"/>
      <c r="W852" s="249"/>
      <c r="X852" s="344"/>
      <c r="Y852" s="337"/>
      <c r="Z852" s="33"/>
      <c r="AA852" s="83"/>
      <c r="AB852" s="33"/>
      <c r="AC852" s="83"/>
      <c r="AD852" s="33"/>
      <c r="AE852" s="83"/>
      <c r="AF852" s="33"/>
      <c r="AG852" s="244"/>
      <c r="AH852" s="83"/>
      <c r="AI852" s="246"/>
      <c r="AJ852" s="102"/>
      <c r="AK852" s="92"/>
      <c r="AL852" s="91"/>
      <c r="AM852" s="92"/>
      <c r="AN852" s="351"/>
      <c r="AO852" s="197">
        <f t="shared" si="55"/>
        <v>0</v>
      </c>
      <c r="AP852" s="91"/>
      <c r="AQ852" s="217"/>
      <c r="AR852" s="103"/>
      <c r="AS852" s="264"/>
      <c r="AT852" s="94"/>
      <c r="AU852" s="84"/>
      <c r="AV852" s="136"/>
      <c r="AW852" s="77"/>
      <c r="AX852" s="137"/>
      <c r="AY852" s="138"/>
      <c r="AZ852" s="220">
        <f t="shared" si="52"/>
        <v>0</v>
      </c>
      <c r="BA852" s="220">
        <f t="shared" si="53"/>
        <v>0</v>
      </c>
    </row>
    <row r="853" spans="1:53" ht="50.1" customHeight="1" x14ac:dyDescent="0.25">
      <c r="A853" s="17">
        <f t="shared" si="54"/>
        <v>839</v>
      </c>
      <c r="B853" s="228"/>
      <c r="C853" s="221"/>
      <c r="D853" s="88"/>
      <c r="E853" s="100"/>
      <c r="F853" s="95"/>
      <c r="G853" s="114"/>
      <c r="H853" s="96"/>
      <c r="I853" s="97"/>
      <c r="J853" s="98"/>
      <c r="K853" s="101"/>
      <c r="L853" s="124"/>
      <c r="M853" s="333"/>
      <c r="N853" s="341"/>
      <c r="O853" s="82"/>
      <c r="P853" s="93"/>
      <c r="Q853" s="82"/>
      <c r="R853" s="93"/>
      <c r="S853" s="298"/>
      <c r="T853" s="304"/>
      <c r="U853" s="307"/>
      <c r="V853" s="309"/>
      <c r="W853" s="248"/>
      <c r="X853" s="342"/>
      <c r="Y853" s="336"/>
      <c r="Z853" s="123"/>
      <c r="AA853" s="33"/>
      <c r="AB853" s="123"/>
      <c r="AC853" s="33"/>
      <c r="AD853" s="123"/>
      <c r="AE853" s="33"/>
      <c r="AF853" s="123"/>
      <c r="AG853" s="243"/>
      <c r="AH853" s="33"/>
      <c r="AI853" s="245"/>
      <c r="AJ853" s="125"/>
      <c r="AK853" s="91"/>
      <c r="AL853" s="126"/>
      <c r="AM853" s="91"/>
      <c r="AN853" s="91"/>
      <c r="AO853" s="197">
        <f t="shared" si="55"/>
        <v>0</v>
      </c>
      <c r="AP853" s="126"/>
      <c r="AQ853" s="216"/>
      <c r="AR853" s="127"/>
      <c r="AS853" s="269"/>
      <c r="AT853" s="94"/>
      <c r="AU853" s="84"/>
      <c r="AV853" s="80"/>
      <c r="AW853" s="81"/>
      <c r="AX853" s="77"/>
      <c r="AY853" s="107"/>
      <c r="AZ853" s="220">
        <f t="shared" si="52"/>
        <v>0</v>
      </c>
      <c r="BA853" s="220">
        <f t="shared" si="53"/>
        <v>0</v>
      </c>
    </row>
    <row r="854" spans="1:53" ht="50.1" customHeight="1" x14ac:dyDescent="0.25">
      <c r="A854" s="17">
        <f t="shared" si="54"/>
        <v>840</v>
      </c>
      <c r="B854" s="229"/>
      <c r="C854" s="222"/>
      <c r="D854" s="112"/>
      <c r="E854" s="128"/>
      <c r="F854" s="129"/>
      <c r="G854" s="130"/>
      <c r="H854" s="131"/>
      <c r="I854" s="132"/>
      <c r="J854" s="108"/>
      <c r="K854" s="133"/>
      <c r="L854" s="134"/>
      <c r="M854" s="334"/>
      <c r="N854" s="343"/>
      <c r="O854" s="135"/>
      <c r="P854" s="82"/>
      <c r="Q854" s="135"/>
      <c r="R854" s="82"/>
      <c r="S854" s="299"/>
      <c r="T854" s="305"/>
      <c r="U854" s="298"/>
      <c r="V854" s="304"/>
      <c r="W854" s="249"/>
      <c r="X854" s="344"/>
      <c r="Y854" s="337"/>
      <c r="Z854" s="33"/>
      <c r="AA854" s="83"/>
      <c r="AB854" s="33"/>
      <c r="AC854" s="83"/>
      <c r="AD854" s="33"/>
      <c r="AE854" s="83"/>
      <c r="AF854" s="33"/>
      <c r="AG854" s="244"/>
      <c r="AH854" s="83"/>
      <c r="AI854" s="246"/>
      <c r="AJ854" s="102"/>
      <c r="AK854" s="92"/>
      <c r="AL854" s="91"/>
      <c r="AM854" s="92"/>
      <c r="AN854" s="351"/>
      <c r="AO854" s="197">
        <f t="shared" si="55"/>
        <v>0</v>
      </c>
      <c r="AP854" s="91"/>
      <c r="AQ854" s="217"/>
      <c r="AR854" s="103"/>
      <c r="AS854" s="264"/>
      <c r="AT854" s="94"/>
      <c r="AU854" s="84"/>
      <c r="AV854" s="136"/>
      <c r="AW854" s="77"/>
      <c r="AX854" s="137"/>
      <c r="AY854" s="138"/>
      <c r="AZ854" s="220">
        <f t="shared" si="52"/>
        <v>0</v>
      </c>
      <c r="BA854" s="220">
        <f t="shared" si="53"/>
        <v>0</v>
      </c>
    </row>
    <row r="855" spans="1:53" ht="50.1" customHeight="1" x14ac:dyDescent="0.25">
      <c r="A855" s="17">
        <f t="shared" si="54"/>
        <v>841</v>
      </c>
      <c r="B855" s="228"/>
      <c r="C855" s="221"/>
      <c r="D855" s="88"/>
      <c r="E855" s="100"/>
      <c r="F855" s="95"/>
      <c r="G855" s="114"/>
      <c r="H855" s="96"/>
      <c r="I855" s="97"/>
      <c r="J855" s="98"/>
      <c r="K855" s="101"/>
      <c r="L855" s="124"/>
      <c r="M855" s="333"/>
      <c r="N855" s="341"/>
      <c r="O855" s="82"/>
      <c r="P855" s="93"/>
      <c r="Q855" s="82"/>
      <c r="R855" s="93"/>
      <c r="S855" s="298"/>
      <c r="T855" s="304"/>
      <c r="U855" s="307"/>
      <c r="V855" s="309"/>
      <c r="W855" s="248"/>
      <c r="X855" s="342"/>
      <c r="Y855" s="336"/>
      <c r="Z855" s="123"/>
      <c r="AA855" s="33"/>
      <c r="AB855" s="123"/>
      <c r="AC855" s="33"/>
      <c r="AD855" s="123"/>
      <c r="AE855" s="33"/>
      <c r="AF855" s="123"/>
      <c r="AG855" s="243"/>
      <c r="AH855" s="33"/>
      <c r="AI855" s="245"/>
      <c r="AJ855" s="125"/>
      <c r="AK855" s="91"/>
      <c r="AL855" s="126"/>
      <c r="AM855" s="91"/>
      <c r="AN855" s="91"/>
      <c r="AO855" s="197">
        <f t="shared" si="55"/>
        <v>0</v>
      </c>
      <c r="AP855" s="126"/>
      <c r="AQ855" s="216"/>
      <c r="AR855" s="127"/>
      <c r="AS855" s="269"/>
      <c r="AT855" s="94"/>
      <c r="AU855" s="84"/>
      <c r="AV855" s="80"/>
      <c r="AW855" s="81"/>
      <c r="AX855" s="77"/>
      <c r="AY855" s="107"/>
      <c r="AZ855" s="220">
        <f t="shared" si="52"/>
        <v>0</v>
      </c>
      <c r="BA855" s="220">
        <f t="shared" si="53"/>
        <v>0</v>
      </c>
    </row>
    <row r="856" spans="1:53" ht="50.1" customHeight="1" x14ac:dyDescent="0.25">
      <c r="A856" s="17">
        <f t="shared" si="54"/>
        <v>842</v>
      </c>
      <c r="B856" s="229"/>
      <c r="C856" s="222"/>
      <c r="D856" s="112"/>
      <c r="E856" s="128"/>
      <c r="F856" s="129"/>
      <c r="G856" s="130"/>
      <c r="H856" s="131"/>
      <c r="I856" s="132"/>
      <c r="J856" s="108"/>
      <c r="K856" s="133"/>
      <c r="L856" s="134"/>
      <c r="M856" s="334"/>
      <c r="N856" s="343"/>
      <c r="O856" s="135"/>
      <c r="P856" s="82"/>
      <c r="Q856" s="135"/>
      <c r="R856" s="82"/>
      <c r="S856" s="299"/>
      <c r="T856" s="305"/>
      <c r="U856" s="298"/>
      <c r="V856" s="304"/>
      <c r="W856" s="249"/>
      <c r="X856" s="344"/>
      <c r="Y856" s="337"/>
      <c r="Z856" s="33"/>
      <c r="AA856" s="83"/>
      <c r="AB856" s="33"/>
      <c r="AC856" s="83"/>
      <c r="AD856" s="33"/>
      <c r="AE856" s="83"/>
      <c r="AF856" s="33"/>
      <c r="AG856" s="244"/>
      <c r="AH856" s="83"/>
      <c r="AI856" s="246"/>
      <c r="AJ856" s="102"/>
      <c r="AK856" s="92"/>
      <c r="AL856" s="91"/>
      <c r="AM856" s="92"/>
      <c r="AN856" s="351"/>
      <c r="AO856" s="197">
        <f t="shared" si="55"/>
        <v>0</v>
      </c>
      <c r="AP856" s="91"/>
      <c r="AQ856" s="217"/>
      <c r="AR856" s="103"/>
      <c r="AS856" s="264"/>
      <c r="AT856" s="94"/>
      <c r="AU856" s="84"/>
      <c r="AV856" s="136"/>
      <c r="AW856" s="77"/>
      <c r="AX856" s="137"/>
      <c r="AY856" s="138"/>
      <c r="AZ856" s="220">
        <f t="shared" si="52"/>
        <v>0</v>
      </c>
      <c r="BA856" s="220">
        <f t="shared" si="53"/>
        <v>0</v>
      </c>
    </row>
    <row r="857" spans="1:53" ht="50.1" customHeight="1" x14ac:dyDescent="0.25">
      <c r="A857" s="17">
        <f t="shared" si="54"/>
        <v>843</v>
      </c>
      <c r="B857" s="228"/>
      <c r="C857" s="221"/>
      <c r="D857" s="88"/>
      <c r="E857" s="100"/>
      <c r="F857" s="95"/>
      <c r="G857" s="114"/>
      <c r="H857" s="96"/>
      <c r="I857" s="97"/>
      <c r="J857" s="98"/>
      <c r="K857" s="101"/>
      <c r="L857" s="124"/>
      <c r="M857" s="333"/>
      <c r="N857" s="341"/>
      <c r="O857" s="82"/>
      <c r="P857" s="93"/>
      <c r="Q857" s="82"/>
      <c r="R857" s="93"/>
      <c r="S857" s="298"/>
      <c r="T857" s="304"/>
      <c r="U857" s="307"/>
      <c r="V857" s="309"/>
      <c r="W857" s="248"/>
      <c r="X857" s="342"/>
      <c r="Y857" s="336"/>
      <c r="Z857" s="123"/>
      <c r="AA857" s="33"/>
      <c r="AB857" s="123"/>
      <c r="AC857" s="33"/>
      <c r="AD857" s="123"/>
      <c r="AE857" s="33"/>
      <c r="AF857" s="123"/>
      <c r="AG857" s="243"/>
      <c r="AH857" s="33"/>
      <c r="AI857" s="245"/>
      <c r="AJ857" s="125"/>
      <c r="AK857" s="91"/>
      <c r="AL857" s="126"/>
      <c r="AM857" s="91"/>
      <c r="AN857" s="91"/>
      <c r="AO857" s="197">
        <f t="shared" si="55"/>
        <v>0</v>
      </c>
      <c r="AP857" s="126"/>
      <c r="AQ857" s="216"/>
      <c r="AR857" s="127"/>
      <c r="AS857" s="269"/>
      <c r="AT857" s="94"/>
      <c r="AU857" s="84"/>
      <c r="AV857" s="80"/>
      <c r="AW857" s="81"/>
      <c r="AX857" s="77"/>
      <c r="AY857" s="107"/>
      <c r="AZ857" s="220">
        <f t="shared" si="52"/>
        <v>0</v>
      </c>
      <c r="BA857" s="220">
        <f t="shared" si="53"/>
        <v>0</v>
      </c>
    </row>
    <row r="858" spans="1:53" ht="50.1" customHeight="1" x14ac:dyDescent="0.25">
      <c r="A858" s="17">
        <f t="shared" si="54"/>
        <v>844</v>
      </c>
      <c r="B858" s="229"/>
      <c r="C858" s="222"/>
      <c r="D858" s="112"/>
      <c r="E858" s="128"/>
      <c r="F858" s="129"/>
      <c r="G858" s="130"/>
      <c r="H858" s="131"/>
      <c r="I858" s="132"/>
      <c r="J858" s="108"/>
      <c r="K858" s="133"/>
      <c r="L858" s="134"/>
      <c r="M858" s="334"/>
      <c r="N858" s="343"/>
      <c r="O858" s="135"/>
      <c r="P858" s="82"/>
      <c r="Q858" s="135"/>
      <c r="R858" s="82"/>
      <c r="S858" s="299"/>
      <c r="T858" s="305"/>
      <c r="U858" s="298"/>
      <c r="V858" s="304"/>
      <c r="W858" s="249"/>
      <c r="X858" s="344"/>
      <c r="Y858" s="337"/>
      <c r="Z858" s="33"/>
      <c r="AA858" s="83"/>
      <c r="AB858" s="33"/>
      <c r="AC858" s="83"/>
      <c r="AD858" s="33"/>
      <c r="AE858" s="83"/>
      <c r="AF858" s="33"/>
      <c r="AG858" s="244"/>
      <c r="AH858" s="83"/>
      <c r="AI858" s="246"/>
      <c r="AJ858" s="102"/>
      <c r="AK858" s="92"/>
      <c r="AL858" s="91"/>
      <c r="AM858" s="92"/>
      <c r="AN858" s="351"/>
      <c r="AO858" s="197">
        <f t="shared" si="55"/>
        <v>0</v>
      </c>
      <c r="AP858" s="91"/>
      <c r="AQ858" s="217"/>
      <c r="AR858" s="103"/>
      <c r="AS858" s="264"/>
      <c r="AT858" s="94"/>
      <c r="AU858" s="84"/>
      <c r="AV858" s="136"/>
      <c r="AW858" s="77"/>
      <c r="AX858" s="137"/>
      <c r="AY858" s="138"/>
      <c r="AZ858" s="220">
        <f t="shared" si="52"/>
        <v>0</v>
      </c>
      <c r="BA858" s="220">
        <f t="shared" si="53"/>
        <v>0</v>
      </c>
    </row>
    <row r="859" spans="1:53" ht="50.1" customHeight="1" x14ac:dyDescent="0.25">
      <c r="A859" s="17">
        <f t="shared" si="54"/>
        <v>845</v>
      </c>
      <c r="B859" s="228"/>
      <c r="C859" s="221"/>
      <c r="D859" s="88"/>
      <c r="E859" s="100"/>
      <c r="F859" s="95"/>
      <c r="G859" s="114"/>
      <c r="H859" s="96"/>
      <c r="I859" s="97"/>
      <c r="J859" s="98"/>
      <c r="K859" s="101"/>
      <c r="L859" s="124"/>
      <c r="M859" s="333"/>
      <c r="N859" s="341"/>
      <c r="O859" s="82"/>
      <c r="P859" s="93"/>
      <c r="Q859" s="82"/>
      <c r="R859" s="93"/>
      <c r="S859" s="298"/>
      <c r="T859" s="304"/>
      <c r="U859" s="307"/>
      <c r="V859" s="309"/>
      <c r="W859" s="248"/>
      <c r="X859" s="342"/>
      <c r="Y859" s="336"/>
      <c r="Z859" s="123"/>
      <c r="AA859" s="33"/>
      <c r="AB859" s="123"/>
      <c r="AC859" s="33"/>
      <c r="AD859" s="123"/>
      <c r="AE859" s="33"/>
      <c r="AF859" s="123"/>
      <c r="AG859" s="243"/>
      <c r="AH859" s="33"/>
      <c r="AI859" s="245"/>
      <c r="AJ859" s="125"/>
      <c r="AK859" s="91"/>
      <c r="AL859" s="126"/>
      <c r="AM859" s="91"/>
      <c r="AN859" s="91"/>
      <c r="AO859" s="197">
        <f t="shared" si="55"/>
        <v>0</v>
      </c>
      <c r="AP859" s="126"/>
      <c r="AQ859" s="216"/>
      <c r="AR859" s="127"/>
      <c r="AS859" s="269"/>
      <c r="AT859" s="94"/>
      <c r="AU859" s="84"/>
      <c r="AV859" s="80"/>
      <c r="AW859" s="81"/>
      <c r="AX859" s="77"/>
      <c r="AY859" s="107"/>
      <c r="AZ859" s="220">
        <f t="shared" si="52"/>
        <v>0</v>
      </c>
      <c r="BA859" s="220">
        <f t="shared" si="53"/>
        <v>0</v>
      </c>
    </row>
    <row r="860" spans="1:53" ht="50.1" customHeight="1" x14ac:dyDescent="0.25">
      <c r="A860" s="17">
        <f t="shared" si="54"/>
        <v>846</v>
      </c>
      <c r="B860" s="229"/>
      <c r="C860" s="222"/>
      <c r="D860" s="112"/>
      <c r="E860" s="128"/>
      <c r="F860" s="129"/>
      <c r="G860" s="130"/>
      <c r="H860" s="131"/>
      <c r="I860" s="132"/>
      <c r="J860" s="108"/>
      <c r="K860" s="133"/>
      <c r="L860" s="134"/>
      <c r="M860" s="334"/>
      <c r="N860" s="343"/>
      <c r="O860" s="135"/>
      <c r="P860" s="82"/>
      <c r="Q860" s="135"/>
      <c r="R860" s="82"/>
      <c r="S860" s="299"/>
      <c r="T860" s="305"/>
      <c r="U860" s="298"/>
      <c r="V860" s="304"/>
      <c r="W860" s="249"/>
      <c r="X860" s="344"/>
      <c r="Y860" s="337"/>
      <c r="Z860" s="33"/>
      <c r="AA860" s="83"/>
      <c r="AB860" s="33"/>
      <c r="AC860" s="83"/>
      <c r="AD860" s="33"/>
      <c r="AE860" s="83"/>
      <c r="AF860" s="33"/>
      <c r="AG860" s="244"/>
      <c r="AH860" s="83"/>
      <c r="AI860" s="246"/>
      <c r="AJ860" s="102"/>
      <c r="AK860" s="92"/>
      <c r="AL860" s="91"/>
      <c r="AM860" s="92"/>
      <c r="AN860" s="351"/>
      <c r="AO860" s="197">
        <f t="shared" si="55"/>
        <v>0</v>
      </c>
      <c r="AP860" s="91"/>
      <c r="AQ860" s="217"/>
      <c r="AR860" s="103"/>
      <c r="AS860" s="264"/>
      <c r="AT860" s="94"/>
      <c r="AU860" s="84"/>
      <c r="AV860" s="136"/>
      <c r="AW860" s="77"/>
      <c r="AX860" s="137"/>
      <c r="AY860" s="138"/>
      <c r="AZ860" s="220">
        <f t="shared" si="52"/>
        <v>0</v>
      </c>
      <c r="BA860" s="220">
        <f t="shared" si="53"/>
        <v>0</v>
      </c>
    </row>
    <row r="861" spans="1:53" ht="50.1" customHeight="1" x14ac:dyDescent="0.25">
      <c r="A861" s="17">
        <f t="shared" si="54"/>
        <v>847</v>
      </c>
      <c r="B861" s="228"/>
      <c r="C861" s="221"/>
      <c r="D861" s="88"/>
      <c r="E861" s="100"/>
      <c r="F861" s="95"/>
      <c r="G861" s="114"/>
      <c r="H861" s="96"/>
      <c r="I861" s="97"/>
      <c r="J861" s="98"/>
      <c r="K861" s="101"/>
      <c r="L861" s="124"/>
      <c r="M861" s="333"/>
      <c r="N861" s="341"/>
      <c r="O861" s="82"/>
      <c r="P861" s="93"/>
      <c r="Q861" s="82"/>
      <c r="R861" s="93"/>
      <c r="S861" s="298"/>
      <c r="T861" s="304"/>
      <c r="U861" s="307"/>
      <c r="V861" s="309"/>
      <c r="W861" s="248"/>
      <c r="X861" s="342"/>
      <c r="Y861" s="336"/>
      <c r="Z861" s="123"/>
      <c r="AA861" s="33"/>
      <c r="AB861" s="123"/>
      <c r="AC861" s="33"/>
      <c r="AD861" s="123"/>
      <c r="AE861" s="33"/>
      <c r="AF861" s="123"/>
      <c r="AG861" s="243"/>
      <c r="AH861" s="33"/>
      <c r="AI861" s="245"/>
      <c r="AJ861" s="125"/>
      <c r="AK861" s="91"/>
      <c r="AL861" s="126"/>
      <c r="AM861" s="91"/>
      <c r="AN861" s="91"/>
      <c r="AO861" s="197">
        <f t="shared" si="55"/>
        <v>0</v>
      </c>
      <c r="AP861" s="126"/>
      <c r="AQ861" s="216"/>
      <c r="AR861" s="127"/>
      <c r="AS861" s="269"/>
      <c r="AT861" s="94"/>
      <c r="AU861" s="84"/>
      <c r="AV861" s="80"/>
      <c r="AW861" s="81"/>
      <c r="AX861" s="77"/>
      <c r="AY861" s="107"/>
      <c r="AZ861" s="220">
        <f t="shared" si="52"/>
        <v>0</v>
      </c>
      <c r="BA861" s="220">
        <f t="shared" si="53"/>
        <v>0</v>
      </c>
    </row>
    <row r="862" spans="1:53" ht="50.1" customHeight="1" x14ac:dyDescent="0.25">
      <c r="A862" s="17">
        <f t="shared" si="54"/>
        <v>848</v>
      </c>
      <c r="B862" s="229"/>
      <c r="C862" s="222"/>
      <c r="D862" s="112"/>
      <c r="E862" s="128"/>
      <c r="F862" s="129"/>
      <c r="G862" s="130"/>
      <c r="H862" s="131"/>
      <c r="I862" s="132"/>
      <c r="J862" s="108"/>
      <c r="K862" s="133"/>
      <c r="L862" s="134"/>
      <c r="M862" s="334"/>
      <c r="N862" s="343"/>
      <c r="O862" s="135"/>
      <c r="P862" s="82"/>
      <c r="Q862" s="135"/>
      <c r="R862" s="82"/>
      <c r="S862" s="299"/>
      <c r="T862" s="305"/>
      <c r="U862" s="298"/>
      <c r="V862" s="304"/>
      <c r="W862" s="249"/>
      <c r="X862" s="344"/>
      <c r="Y862" s="337"/>
      <c r="Z862" s="33"/>
      <c r="AA862" s="83"/>
      <c r="AB862" s="33"/>
      <c r="AC862" s="83"/>
      <c r="AD862" s="33"/>
      <c r="AE862" s="83"/>
      <c r="AF862" s="33"/>
      <c r="AG862" s="244"/>
      <c r="AH862" s="83"/>
      <c r="AI862" s="246"/>
      <c r="AJ862" s="102"/>
      <c r="AK862" s="92"/>
      <c r="AL862" s="91"/>
      <c r="AM862" s="92"/>
      <c r="AN862" s="351"/>
      <c r="AO862" s="197">
        <f t="shared" si="55"/>
        <v>0</v>
      </c>
      <c r="AP862" s="91"/>
      <c r="AQ862" s="217"/>
      <c r="AR862" s="103"/>
      <c r="AS862" s="264"/>
      <c r="AT862" s="94"/>
      <c r="AU862" s="84"/>
      <c r="AV862" s="136"/>
      <c r="AW862" s="77"/>
      <c r="AX862" s="137"/>
      <c r="AY862" s="138"/>
      <c r="AZ862" s="220">
        <f t="shared" si="52"/>
        <v>0</v>
      </c>
      <c r="BA862" s="220">
        <f t="shared" si="53"/>
        <v>0</v>
      </c>
    </row>
    <row r="863" spans="1:53" ht="50.1" customHeight="1" x14ac:dyDescent="0.25">
      <c r="A863" s="17">
        <f t="shared" si="54"/>
        <v>849</v>
      </c>
      <c r="B863" s="228"/>
      <c r="C863" s="221"/>
      <c r="D863" s="88"/>
      <c r="E863" s="100"/>
      <c r="F863" s="95"/>
      <c r="G863" s="114"/>
      <c r="H863" s="96"/>
      <c r="I863" s="97"/>
      <c r="J863" s="98"/>
      <c r="K863" s="101"/>
      <c r="L863" s="124"/>
      <c r="M863" s="333"/>
      <c r="N863" s="341"/>
      <c r="O863" s="82"/>
      <c r="P863" s="93"/>
      <c r="Q863" s="82"/>
      <c r="R863" s="93"/>
      <c r="S863" s="298"/>
      <c r="T863" s="304"/>
      <c r="U863" s="307"/>
      <c r="V863" s="309"/>
      <c r="W863" s="248"/>
      <c r="X863" s="342"/>
      <c r="Y863" s="336"/>
      <c r="Z863" s="123"/>
      <c r="AA863" s="33"/>
      <c r="AB863" s="123"/>
      <c r="AC863" s="33"/>
      <c r="AD863" s="123"/>
      <c r="AE863" s="33"/>
      <c r="AF863" s="123"/>
      <c r="AG863" s="243"/>
      <c r="AH863" s="33"/>
      <c r="AI863" s="245"/>
      <c r="AJ863" s="125"/>
      <c r="AK863" s="91"/>
      <c r="AL863" s="126"/>
      <c r="AM863" s="91"/>
      <c r="AN863" s="91"/>
      <c r="AO863" s="197">
        <f t="shared" si="55"/>
        <v>0</v>
      </c>
      <c r="AP863" s="126"/>
      <c r="AQ863" s="216"/>
      <c r="AR863" s="127"/>
      <c r="AS863" s="269"/>
      <c r="AT863" s="94"/>
      <c r="AU863" s="84"/>
      <c r="AV863" s="80"/>
      <c r="AW863" s="81"/>
      <c r="AX863" s="77"/>
      <c r="AY863" s="107"/>
      <c r="AZ863" s="220">
        <f t="shared" si="52"/>
        <v>0</v>
      </c>
      <c r="BA863" s="220">
        <f t="shared" si="53"/>
        <v>0</v>
      </c>
    </row>
    <row r="864" spans="1:53" ht="50.1" customHeight="1" x14ac:dyDescent="0.25">
      <c r="A864" s="17">
        <f t="shared" si="54"/>
        <v>850</v>
      </c>
      <c r="B864" s="229"/>
      <c r="C864" s="222"/>
      <c r="D864" s="112"/>
      <c r="E864" s="128"/>
      <c r="F864" s="129"/>
      <c r="G864" s="130"/>
      <c r="H864" s="131"/>
      <c r="I864" s="132"/>
      <c r="J864" s="108"/>
      <c r="K864" s="133"/>
      <c r="L864" s="134"/>
      <c r="M864" s="334"/>
      <c r="N864" s="343"/>
      <c r="O864" s="135"/>
      <c r="P864" s="82"/>
      <c r="Q864" s="135"/>
      <c r="R864" s="82"/>
      <c r="S864" s="299"/>
      <c r="T864" s="305"/>
      <c r="U864" s="298"/>
      <c r="V864" s="304"/>
      <c r="W864" s="249"/>
      <c r="X864" s="344"/>
      <c r="Y864" s="337"/>
      <c r="Z864" s="33"/>
      <c r="AA864" s="83"/>
      <c r="AB864" s="33"/>
      <c r="AC864" s="83"/>
      <c r="AD864" s="33"/>
      <c r="AE864" s="83"/>
      <c r="AF864" s="33"/>
      <c r="AG864" s="244"/>
      <c r="AH864" s="83"/>
      <c r="AI864" s="246"/>
      <c r="AJ864" s="102"/>
      <c r="AK864" s="92"/>
      <c r="AL864" s="91"/>
      <c r="AM864" s="92"/>
      <c r="AN864" s="351"/>
      <c r="AO864" s="197">
        <f t="shared" si="55"/>
        <v>0</v>
      </c>
      <c r="AP864" s="91"/>
      <c r="AQ864" s="217"/>
      <c r="AR864" s="103"/>
      <c r="AS864" s="264"/>
      <c r="AT864" s="94"/>
      <c r="AU864" s="84"/>
      <c r="AV864" s="136"/>
      <c r="AW864" s="77"/>
      <c r="AX864" s="137"/>
      <c r="AY864" s="138"/>
      <c r="AZ864" s="220">
        <f t="shared" si="52"/>
        <v>0</v>
      </c>
      <c r="BA864" s="220">
        <f t="shared" si="53"/>
        <v>0</v>
      </c>
    </row>
    <row r="865" spans="1:53" ht="50.1" customHeight="1" x14ac:dyDescent="0.25">
      <c r="A865" s="17">
        <f t="shared" si="54"/>
        <v>851</v>
      </c>
      <c r="B865" s="228"/>
      <c r="C865" s="221"/>
      <c r="D865" s="88"/>
      <c r="E865" s="100"/>
      <c r="F865" s="95"/>
      <c r="G865" s="114"/>
      <c r="H865" s="96"/>
      <c r="I865" s="97"/>
      <c r="J865" s="98"/>
      <c r="K865" s="101"/>
      <c r="L865" s="124"/>
      <c r="M865" s="333"/>
      <c r="N865" s="341"/>
      <c r="O865" s="82"/>
      <c r="P865" s="93"/>
      <c r="Q865" s="82"/>
      <c r="R865" s="93"/>
      <c r="S865" s="298"/>
      <c r="T865" s="304"/>
      <c r="U865" s="307"/>
      <c r="V865" s="309"/>
      <c r="W865" s="248"/>
      <c r="X865" s="342"/>
      <c r="Y865" s="336"/>
      <c r="Z865" s="123"/>
      <c r="AA865" s="33"/>
      <c r="AB865" s="123"/>
      <c r="AC865" s="33"/>
      <c r="AD865" s="123"/>
      <c r="AE865" s="33"/>
      <c r="AF865" s="123"/>
      <c r="AG865" s="243"/>
      <c r="AH865" s="33"/>
      <c r="AI865" s="245"/>
      <c r="AJ865" s="125"/>
      <c r="AK865" s="91"/>
      <c r="AL865" s="126"/>
      <c r="AM865" s="91"/>
      <c r="AN865" s="91"/>
      <c r="AO865" s="197">
        <f t="shared" si="55"/>
        <v>0</v>
      </c>
      <c r="AP865" s="126"/>
      <c r="AQ865" s="216"/>
      <c r="AR865" s="127"/>
      <c r="AS865" s="269"/>
      <c r="AT865" s="94"/>
      <c r="AU865" s="84"/>
      <c r="AV865" s="80"/>
      <c r="AW865" s="81"/>
      <c r="AX865" s="77"/>
      <c r="AY865" s="107"/>
      <c r="AZ865" s="220">
        <f t="shared" si="52"/>
        <v>0</v>
      </c>
      <c r="BA865" s="220">
        <f t="shared" si="53"/>
        <v>0</v>
      </c>
    </row>
    <row r="866" spans="1:53" ht="50.1" customHeight="1" x14ac:dyDescent="0.25">
      <c r="A866" s="17">
        <f t="shared" si="54"/>
        <v>852</v>
      </c>
      <c r="B866" s="229"/>
      <c r="C866" s="222"/>
      <c r="D866" s="112"/>
      <c r="E866" s="128"/>
      <c r="F866" s="129"/>
      <c r="G866" s="130"/>
      <c r="H866" s="131"/>
      <c r="I866" s="132"/>
      <c r="J866" s="108"/>
      <c r="K866" s="133"/>
      <c r="L866" s="134"/>
      <c r="M866" s="334"/>
      <c r="N866" s="343"/>
      <c r="O866" s="135"/>
      <c r="P866" s="82"/>
      <c r="Q866" s="135"/>
      <c r="R866" s="82"/>
      <c r="S866" s="299"/>
      <c r="T866" s="305"/>
      <c r="U866" s="298"/>
      <c r="V866" s="304"/>
      <c r="W866" s="249"/>
      <c r="X866" s="344"/>
      <c r="Y866" s="337"/>
      <c r="Z866" s="33"/>
      <c r="AA866" s="83"/>
      <c r="AB866" s="33"/>
      <c r="AC866" s="83"/>
      <c r="AD866" s="33"/>
      <c r="AE866" s="83"/>
      <c r="AF866" s="33"/>
      <c r="AG866" s="244"/>
      <c r="AH866" s="83"/>
      <c r="AI866" s="246"/>
      <c r="AJ866" s="102"/>
      <c r="AK866" s="92"/>
      <c r="AL866" s="91"/>
      <c r="AM866" s="92"/>
      <c r="AN866" s="351"/>
      <c r="AO866" s="197">
        <f t="shared" si="55"/>
        <v>0</v>
      </c>
      <c r="AP866" s="91"/>
      <c r="AQ866" s="217"/>
      <c r="AR866" s="103"/>
      <c r="AS866" s="264"/>
      <c r="AT866" s="94"/>
      <c r="AU866" s="84"/>
      <c r="AV866" s="136"/>
      <c r="AW866" s="77"/>
      <c r="AX866" s="137"/>
      <c r="AY866" s="138"/>
      <c r="AZ866" s="220">
        <f t="shared" si="52"/>
        <v>0</v>
      </c>
      <c r="BA866" s="220">
        <f t="shared" si="53"/>
        <v>0</v>
      </c>
    </row>
    <row r="867" spans="1:53" ht="50.1" customHeight="1" x14ac:dyDescent="0.25">
      <c r="A867" s="17">
        <f t="shared" si="54"/>
        <v>853</v>
      </c>
      <c r="B867" s="228"/>
      <c r="C867" s="221"/>
      <c r="D867" s="88"/>
      <c r="E867" s="100"/>
      <c r="F867" s="95"/>
      <c r="G867" s="114"/>
      <c r="H867" s="96"/>
      <c r="I867" s="97"/>
      <c r="J867" s="98"/>
      <c r="K867" s="101"/>
      <c r="L867" s="124"/>
      <c r="M867" s="333"/>
      <c r="N867" s="341"/>
      <c r="O867" s="82"/>
      <c r="P867" s="93"/>
      <c r="Q867" s="82"/>
      <c r="R867" s="93"/>
      <c r="S867" s="298"/>
      <c r="T867" s="304"/>
      <c r="U867" s="307"/>
      <c r="V867" s="309"/>
      <c r="W867" s="248"/>
      <c r="X867" s="342"/>
      <c r="Y867" s="336"/>
      <c r="Z867" s="123"/>
      <c r="AA867" s="33"/>
      <c r="AB867" s="123"/>
      <c r="AC867" s="33"/>
      <c r="AD867" s="123"/>
      <c r="AE867" s="33"/>
      <c r="AF867" s="123"/>
      <c r="AG867" s="243"/>
      <c r="AH867" s="33"/>
      <c r="AI867" s="245"/>
      <c r="AJ867" s="125"/>
      <c r="AK867" s="91"/>
      <c r="AL867" s="126"/>
      <c r="AM867" s="91"/>
      <c r="AN867" s="91"/>
      <c r="AO867" s="197">
        <f t="shared" si="55"/>
        <v>0</v>
      </c>
      <c r="AP867" s="126"/>
      <c r="AQ867" s="216"/>
      <c r="AR867" s="127"/>
      <c r="AS867" s="269"/>
      <c r="AT867" s="94"/>
      <c r="AU867" s="84"/>
      <c r="AV867" s="80"/>
      <c r="AW867" s="81"/>
      <c r="AX867" s="77"/>
      <c r="AY867" s="107"/>
      <c r="AZ867" s="220">
        <f t="shared" si="52"/>
        <v>0</v>
      </c>
      <c r="BA867" s="220">
        <f t="shared" si="53"/>
        <v>0</v>
      </c>
    </row>
    <row r="868" spans="1:53" ht="50.1" customHeight="1" x14ac:dyDescent="0.25">
      <c r="A868" s="17">
        <f t="shared" si="54"/>
        <v>854</v>
      </c>
      <c r="B868" s="229"/>
      <c r="C868" s="222"/>
      <c r="D868" s="112"/>
      <c r="E868" s="128"/>
      <c r="F868" s="129"/>
      <c r="G868" s="130"/>
      <c r="H868" s="131"/>
      <c r="I868" s="132"/>
      <c r="J868" s="108"/>
      <c r="K868" s="133"/>
      <c r="L868" s="134"/>
      <c r="M868" s="334"/>
      <c r="N868" s="343"/>
      <c r="O868" s="135"/>
      <c r="P868" s="82"/>
      <c r="Q868" s="135"/>
      <c r="R868" s="82"/>
      <c r="S868" s="299"/>
      <c r="T868" s="305"/>
      <c r="U868" s="298"/>
      <c r="V868" s="304"/>
      <c r="W868" s="249"/>
      <c r="X868" s="344"/>
      <c r="Y868" s="337"/>
      <c r="Z868" s="33"/>
      <c r="AA868" s="83"/>
      <c r="AB868" s="33"/>
      <c r="AC868" s="83"/>
      <c r="AD868" s="33"/>
      <c r="AE868" s="83"/>
      <c r="AF868" s="33"/>
      <c r="AG868" s="244"/>
      <c r="AH868" s="83"/>
      <c r="AI868" s="246"/>
      <c r="AJ868" s="102"/>
      <c r="AK868" s="92"/>
      <c r="AL868" s="91"/>
      <c r="AM868" s="92"/>
      <c r="AN868" s="351"/>
      <c r="AO868" s="197">
        <f t="shared" si="55"/>
        <v>0</v>
      </c>
      <c r="AP868" s="91"/>
      <c r="AQ868" s="217"/>
      <c r="AR868" s="103"/>
      <c r="AS868" s="264"/>
      <c r="AT868" s="94"/>
      <c r="AU868" s="84"/>
      <c r="AV868" s="136"/>
      <c r="AW868" s="77"/>
      <c r="AX868" s="137"/>
      <c r="AY868" s="138"/>
      <c r="AZ868" s="220">
        <f t="shared" si="52"/>
        <v>0</v>
      </c>
      <c r="BA868" s="220">
        <f t="shared" si="53"/>
        <v>0</v>
      </c>
    </row>
    <row r="869" spans="1:53" ht="50.1" customHeight="1" x14ac:dyDescent="0.25">
      <c r="A869" s="17">
        <f t="shared" si="54"/>
        <v>855</v>
      </c>
      <c r="B869" s="228"/>
      <c r="C869" s="221"/>
      <c r="D869" s="88"/>
      <c r="E869" s="100"/>
      <c r="F869" s="95"/>
      <c r="G869" s="114"/>
      <c r="H869" s="96"/>
      <c r="I869" s="97"/>
      <c r="J869" s="98"/>
      <c r="K869" s="101"/>
      <c r="L869" s="124"/>
      <c r="M869" s="333"/>
      <c r="N869" s="341"/>
      <c r="O869" s="82"/>
      <c r="P869" s="93"/>
      <c r="Q869" s="82"/>
      <c r="R869" s="93"/>
      <c r="S869" s="298"/>
      <c r="T869" s="304"/>
      <c r="U869" s="307"/>
      <c r="V869" s="309"/>
      <c r="W869" s="248"/>
      <c r="X869" s="342"/>
      <c r="Y869" s="336"/>
      <c r="Z869" s="123"/>
      <c r="AA869" s="33"/>
      <c r="AB869" s="123"/>
      <c r="AC869" s="33"/>
      <c r="AD869" s="123"/>
      <c r="AE869" s="33"/>
      <c r="AF869" s="123"/>
      <c r="AG869" s="243"/>
      <c r="AH869" s="33"/>
      <c r="AI869" s="245"/>
      <c r="AJ869" s="125"/>
      <c r="AK869" s="91"/>
      <c r="AL869" s="126"/>
      <c r="AM869" s="91"/>
      <c r="AN869" s="91"/>
      <c r="AO869" s="197">
        <f t="shared" si="55"/>
        <v>0</v>
      </c>
      <c r="AP869" s="126"/>
      <c r="AQ869" s="216"/>
      <c r="AR869" s="127"/>
      <c r="AS869" s="269"/>
      <c r="AT869" s="94"/>
      <c r="AU869" s="84"/>
      <c r="AV869" s="80"/>
      <c r="AW869" s="81"/>
      <c r="AX869" s="77"/>
      <c r="AY869" s="107"/>
      <c r="AZ869" s="220">
        <f t="shared" si="52"/>
        <v>0</v>
      </c>
      <c r="BA869" s="220">
        <f t="shared" si="53"/>
        <v>0</v>
      </c>
    </row>
    <row r="870" spans="1:53" ht="50.1" customHeight="1" x14ac:dyDescent="0.25">
      <c r="A870" s="17">
        <f t="shared" si="54"/>
        <v>856</v>
      </c>
      <c r="B870" s="229"/>
      <c r="C870" s="222"/>
      <c r="D870" s="112"/>
      <c r="E870" s="128"/>
      <c r="F870" s="129"/>
      <c r="G870" s="130"/>
      <c r="H870" s="131"/>
      <c r="I870" s="132"/>
      <c r="J870" s="108"/>
      <c r="K870" s="133"/>
      <c r="L870" s="134"/>
      <c r="M870" s="334"/>
      <c r="N870" s="343"/>
      <c r="O870" s="135"/>
      <c r="P870" s="82"/>
      <c r="Q870" s="135"/>
      <c r="R870" s="82"/>
      <c r="S870" s="299"/>
      <c r="T870" s="305"/>
      <c r="U870" s="298"/>
      <c r="V870" s="304"/>
      <c r="W870" s="249"/>
      <c r="X870" s="344"/>
      <c r="Y870" s="337"/>
      <c r="Z870" s="33"/>
      <c r="AA870" s="83"/>
      <c r="AB870" s="33"/>
      <c r="AC870" s="83"/>
      <c r="AD870" s="33"/>
      <c r="AE870" s="83"/>
      <c r="AF870" s="33"/>
      <c r="AG870" s="244"/>
      <c r="AH870" s="83"/>
      <c r="AI870" s="246"/>
      <c r="AJ870" s="102"/>
      <c r="AK870" s="92"/>
      <c r="AL870" s="91"/>
      <c r="AM870" s="92"/>
      <c r="AN870" s="351"/>
      <c r="AO870" s="197">
        <f t="shared" si="55"/>
        <v>0</v>
      </c>
      <c r="AP870" s="91"/>
      <c r="AQ870" s="217"/>
      <c r="AR870" s="103"/>
      <c r="AS870" s="264"/>
      <c r="AT870" s="94"/>
      <c r="AU870" s="84"/>
      <c r="AV870" s="136"/>
      <c r="AW870" s="77"/>
      <c r="AX870" s="137"/>
      <c r="AY870" s="138"/>
      <c r="AZ870" s="220">
        <f t="shared" si="52"/>
        <v>0</v>
      </c>
      <c r="BA870" s="220">
        <f t="shared" si="53"/>
        <v>0</v>
      </c>
    </row>
    <row r="871" spans="1:53" ht="50.1" customHeight="1" x14ac:dyDescent="0.25">
      <c r="A871" s="17">
        <f t="shared" si="54"/>
        <v>857</v>
      </c>
      <c r="B871" s="228"/>
      <c r="C871" s="221"/>
      <c r="D871" s="88"/>
      <c r="E871" s="100"/>
      <c r="F871" s="95"/>
      <c r="G871" s="114"/>
      <c r="H871" s="96"/>
      <c r="I871" s="97"/>
      <c r="J871" s="98"/>
      <c r="K871" s="101"/>
      <c r="L871" s="124"/>
      <c r="M871" s="333"/>
      <c r="N871" s="341"/>
      <c r="O871" s="82"/>
      <c r="P871" s="93"/>
      <c r="Q871" s="82"/>
      <c r="R871" s="93"/>
      <c r="S871" s="298"/>
      <c r="T871" s="304"/>
      <c r="U871" s="307"/>
      <c r="V871" s="309"/>
      <c r="W871" s="248"/>
      <c r="X871" s="342"/>
      <c r="Y871" s="336"/>
      <c r="Z871" s="123"/>
      <c r="AA871" s="33"/>
      <c r="AB871" s="123"/>
      <c r="AC871" s="33"/>
      <c r="AD871" s="123"/>
      <c r="AE871" s="33"/>
      <c r="AF871" s="123"/>
      <c r="AG871" s="243"/>
      <c r="AH871" s="33"/>
      <c r="AI871" s="245"/>
      <c r="AJ871" s="125"/>
      <c r="AK871" s="91"/>
      <c r="AL871" s="126"/>
      <c r="AM871" s="91"/>
      <c r="AN871" s="91"/>
      <c r="AO871" s="197">
        <f t="shared" si="55"/>
        <v>0</v>
      </c>
      <c r="AP871" s="126"/>
      <c r="AQ871" s="216"/>
      <c r="AR871" s="127"/>
      <c r="AS871" s="269"/>
      <c r="AT871" s="94"/>
      <c r="AU871" s="84"/>
      <c r="AV871" s="80"/>
      <c r="AW871" s="81"/>
      <c r="AX871" s="77"/>
      <c r="AY871" s="107"/>
      <c r="AZ871" s="220">
        <f t="shared" si="52"/>
        <v>0</v>
      </c>
      <c r="BA871" s="220">
        <f t="shared" si="53"/>
        <v>0</v>
      </c>
    </row>
    <row r="872" spans="1:53" ht="50.1" customHeight="1" x14ac:dyDescent="0.25">
      <c r="A872" s="17">
        <f t="shared" si="54"/>
        <v>858</v>
      </c>
      <c r="B872" s="229"/>
      <c r="C872" s="222"/>
      <c r="D872" s="112"/>
      <c r="E872" s="128"/>
      <c r="F872" s="129"/>
      <c r="G872" s="130"/>
      <c r="H872" s="131"/>
      <c r="I872" s="132"/>
      <c r="J872" s="108"/>
      <c r="K872" s="133"/>
      <c r="L872" s="134"/>
      <c r="M872" s="334"/>
      <c r="N872" s="343"/>
      <c r="O872" s="135"/>
      <c r="P872" s="82"/>
      <c r="Q872" s="135"/>
      <c r="R872" s="82"/>
      <c r="S872" s="299"/>
      <c r="T872" s="305"/>
      <c r="U872" s="298"/>
      <c r="V872" s="304"/>
      <c r="W872" s="249"/>
      <c r="X872" s="344"/>
      <c r="Y872" s="337"/>
      <c r="Z872" s="33"/>
      <c r="AA872" s="83"/>
      <c r="AB872" s="33"/>
      <c r="AC872" s="83"/>
      <c r="AD872" s="33"/>
      <c r="AE872" s="83"/>
      <c r="AF872" s="33"/>
      <c r="AG872" s="244"/>
      <c r="AH872" s="83"/>
      <c r="AI872" s="246"/>
      <c r="AJ872" s="102"/>
      <c r="AK872" s="92"/>
      <c r="AL872" s="91"/>
      <c r="AM872" s="92"/>
      <c r="AN872" s="351"/>
      <c r="AO872" s="197">
        <f t="shared" si="55"/>
        <v>0</v>
      </c>
      <c r="AP872" s="91"/>
      <c r="AQ872" s="217"/>
      <c r="AR872" s="103"/>
      <c r="AS872" s="264"/>
      <c r="AT872" s="94"/>
      <c r="AU872" s="84"/>
      <c r="AV872" s="136"/>
      <c r="AW872" s="77"/>
      <c r="AX872" s="137"/>
      <c r="AY872" s="138"/>
      <c r="AZ872" s="220">
        <f t="shared" si="52"/>
        <v>0</v>
      </c>
      <c r="BA872" s="220">
        <f t="shared" si="53"/>
        <v>0</v>
      </c>
    </row>
    <row r="873" spans="1:53" ht="50.1" customHeight="1" x14ac:dyDescent="0.25">
      <c r="A873" s="17">
        <f t="shared" si="54"/>
        <v>859</v>
      </c>
      <c r="B873" s="228"/>
      <c r="C873" s="221"/>
      <c r="D873" s="88"/>
      <c r="E873" s="100"/>
      <c r="F873" s="95"/>
      <c r="G873" s="114"/>
      <c r="H873" s="96"/>
      <c r="I873" s="97"/>
      <c r="J873" s="98"/>
      <c r="K873" s="101"/>
      <c r="L873" s="124"/>
      <c r="M873" s="333"/>
      <c r="N873" s="341"/>
      <c r="O873" s="82"/>
      <c r="P873" s="93"/>
      <c r="Q873" s="82"/>
      <c r="R873" s="93"/>
      <c r="S873" s="298"/>
      <c r="T873" s="304"/>
      <c r="U873" s="307"/>
      <c r="V873" s="309"/>
      <c r="W873" s="248"/>
      <c r="X873" s="342"/>
      <c r="Y873" s="336"/>
      <c r="Z873" s="123"/>
      <c r="AA873" s="33"/>
      <c r="AB873" s="123"/>
      <c r="AC873" s="33"/>
      <c r="AD873" s="123"/>
      <c r="AE873" s="33"/>
      <c r="AF873" s="123"/>
      <c r="AG873" s="243"/>
      <c r="AH873" s="33"/>
      <c r="AI873" s="245"/>
      <c r="AJ873" s="125"/>
      <c r="AK873" s="91"/>
      <c r="AL873" s="126"/>
      <c r="AM873" s="91"/>
      <c r="AN873" s="91"/>
      <c r="AO873" s="197">
        <f t="shared" si="55"/>
        <v>0</v>
      </c>
      <c r="AP873" s="126"/>
      <c r="AQ873" s="216"/>
      <c r="AR873" s="127"/>
      <c r="AS873" s="269"/>
      <c r="AT873" s="94"/>
      <c r="AU873" s="84"/>
      <c r="AV873" s="80"/>
      <c r="AW873" s="81"/>
      <c r="AX873" s="77"/>
      <c r="AY873" s="107"/>
      <c r="AZ873" s="220">
        <f t="shared" si="52"/>
        <v>0</v>
      </c>
      <c r="BA873" s="220">
        <f t="shared" si="53"/>
        <v>0</v>
      </c>
    </row>
    <row r="874" spans="1:53" ht="50.1" customHeight="1" x14ac:dyDescent="0.25">
      <c r="A874" s="17">
        <f t="shared" si="54"/>
        <v>860</v>
      </c>
      <c r="B874" s="229"/>
      <c r="C874" s="222"/>
      <c r="D874" s="112"/>
      <c r="E874" s="128"/>
      <c r="F874" s="129"/>
      <c r="G874" s="130"/>
      <c r="H874" s="131"/>
      <c r="I874" s="132"/>
      <c r="J874" s="108"/>
      <c r="K874" s="133"/>
      <c r="L874" s="134"/>
      <c r="M874" s="334"/>
      <c r="N874" s="343"/>
      <c r="O874" s="135"/>
      <c r="P874" s="82"/>
      <c r="Q874" s="135"/>
      <c r="R874" s="82"/>
      <c r="S874" s="299"/>
      <c r="T874" s="305"/>
      <c r="U874" s="298"/>
      <c r="V874" s="304"/>
      <c r="W874" s="249"/>
      <c r="X874" s="344"/>
      <c r="Y874" s="337"/>
      <c r="Z874" s="33"/>
      <c r="AA874" s="83"/>
      <c r="AB874" s="33"/>
      <c r="AC874" s="83"/>
      <c r="AD874" s="33"/>
      <c r="AE874" s="83"/>
      <c r="AF874" s="33"/>
      <c r="AG874" s="244"/>
      <c r="AH874" s="83"/>
      <c r="AI874" s="246"/>
      <c r="AJ874" s="102"/>
      <c r="AK874" s="92"/>
      <c r="AL874" s="91"/>
      <c r="AM874" s="92"/>
      <c r="AN874" s="351"/>
      <c r="AO874" s="197">
        <f t="shared" si="55"/>
        <v>0</v>
      </c>
      <c r="AP874" s="91"/>
      <c r="AQ874" s="217"/>
      <c r="AR874" s="103"/>
      <c r="AS874" s="264"/>
      <c r="AT874" s="94"/>
      <c r="AU874" s="84"/>
      <c r="AV874" s="136"/>
      <c r="AW874" s="77"/>
      <c r="AX874" s="137"/>
      <c r="AY874" s="138"/>
      <c r="AZ874" s="220">
        <f t="shared" si="52"/>
        <v>0</v>
      </c>
      <c r="BA874" s="220">
        <f t="shared" si="53"/>
        <v>0</v>
      </c>
    </row>
    <row r="875" spans="1:53" ht="50.1" customHeight="1" x14ac:dyDescent="0.25">
      <c r="A875" s="17">
        <f t="shared" si="54"/>
        <v>861</v>
      </c>
      <c r="B875" s="228"/>
      <c r="C875" s="221"/>
      <c r="D875" s="88"/>
      <c r="E875" s="100"/>
      <c r="F875" s="95"/>
      <c r="G875" s="114"/>
      <c r="H875" s="96"/>
      <c r="I875" s="97"/>
      <c r="J875" s="98"/>
      <c r="K875" s="101"/>
      <c r="L875" s="124"/>
      <c r="M875" s="333"/>
      <c r="N875" s="341"/>
      <c r="O875" s="82"/>
      <c r="P875" s="93"/>
      <c r="Q875" s="82"/>
      <c r="R875" s="93"/>
      <c r="S875" s="298"/>
      <c r="T875" s="304"/>
      <c r="U875" s="307"/>
      <c r="V875" s="309"/>
      <c r="W875" s="248"/>
      <c r="X875" s="342"/>
      <c r="Y875" s="336"/>
      <c r="Z875" s="123"/>
      <c r="AA875" s="33"/>
      <c r="AB875" s="123"/>
      <c r="AC875" s="33"/>
      <c r="AD875" s="123"/>
      <c r="AE875" s="33"/>
      <c r="AF875" s="123"/>
      <c r="AG875" s="243"/>
      <c r="AH875" s="33"/>
      <c r="AI875" s="245"/>
      <c r="AJ875" s="125"/>
      <c r="AK875" s="91"/>
      <c r="AL875" s="126"/>
      <c r="AM875" s="91"/>
      <c r="AN875" s="91"/>
      <c r="AO875" s="197">
        <f t="shared" si="55"/>
        <v>0</v>
      </c>
      <c r="AP875" s="126"/>
      <c r="AQ875" s="216"/>
      <c r="AR875" s="127"/>
      <c r="AS875" s="269"/>
      <c r="AT875" s="94"/>
      <c r="AU875" s="84"/>
      <c r="AV875" s="80"/>
      <c r="AW875" s="81"/>
      <c r="AX875" s="77"/>
      <c r="AY875" s="107"/>
      <c r="AZ875" s="220">
        <f t="shared" si="52"/>
        <v>0</v>
      </c>
      <c r="BA875" s="220">
        <f t="shared" si="53"/>
        <v>0</v>
      </c>
    </row>
    <row r="876" spans="1:53" ht="50.1" customHeight="1" x14ac:dyDescent="0.25">
      <c r="A876" s="17">
        <f t="shared" si="54"/>
        <v>862</v>
      </c>
      <c r="B876" s="229"/>
      <c r="C876" s="222"/>
      <c r="D876" s="112"/>
      <c r="E876" s="128"/>
      <c r="F876" s="129"/>
      <c r="G876" s="130"/>
      <c r="H876" s="131"/>
      <c r="I876" s="132"/>
      <c r="J876" s="108"/>
      <c r="K876" s="133"/>
      <c r="L876" s="134"/>
      <c r="M876" s="334"/>
      <c r="N876" s="343"/>
      <c r="O876" s="135"/>
      <c r="P876" s="82"/>
      <c r="Q876" s="135"/>
      <c r="R876" s="82"/>
      <c r="S876" s="299"/>
      <c r="T876" s="305"/>
      <c r="U876" s="298"/>
      <c r="V876" s="304"/>
      <c r="W876" s="249"/>
      <c r="X876" s="344"/>
      <c r="Y876" s="337"/>
      <c r="Z876" s="33"/>
      <c r="AA876" s="83"/>
      <c r="AB876" s="33"/>
      <c r="AC876" s="83"/>
      <c r="AD876" s="33"/>
      <c r="AE876" s="83"/>
      <c r="AF876" s="33"/>
      <c r="AG876" s="244"/>
      <c r="AH876" s="83"/>
      <c r="AI876" s="246"/>
      <c r="AJ876" s="102"/>
      <c r="AK876" s="92"/>
      <c r="AL876" s="91"/>
      <c r="AM876" s="92"/>
      <c r="AN876" s="351"/>
      <c r="AO876" s="197">
        <f t="shared" si="55"/>
        <v>0</v>
      </c>
      <c r="AP876" s="91"/>
      <c r="AQ876" s="217"/>
      <c r="AR876" s="103"/>
      <c r="AS876" s="264"/>
      <c r="AT876" s="94"/>
      <c r="AU876" s="84"/>
      <c r="AV876" s="136"/>
      <c r="AW876" s="77"/>
      <c r="AX876" s="137"/>
      <c r="AY876" s="138"/>
      <c r="AZ876" s="220">
        <f t="shared" si="52"/>
        <v>0</v>
      </c>
      <c r="BA876" s="220">
        <f t="shared" si="53"/>
        <v>0</v>
      </c>
    </row>
    <row r="877" spans="1:53" ht="50.1" customHeight="1" x14ac:dyDescent="0.25">
      <c r="A877" s="17">
        <f t="shared" si="54"/>
        <v>863</v>
      </c>
      <c r="B877" s="228"/>
      <c r="C877" s="221"/>
      <c r="D877" s="88"/>
      <c r="E877" s="100"/>
      <c r="F877" s="95"/>
      <c r="G877" s="114"/>
      <c r="H877" s="96"/>
      <c r="I877" s="97"/>
      <c r="J877" s="98"/>
      <c r="K877" s="101"/>
      <c r="L877" s="124"/>
      <c r="M877" s="333"/>
      <c r="N877" s="341"/>
      <c r="O877" s="82"/>
      <c r="P877" s="93"/>
      <c r="Q877" s="82"/>
      <c r="R877" s="93"/>
      <c r="S877" s="298"/>
      <c r="T877" s="304"/>
      <c r="U877" s="307"/>
      <c r="V877" s="309"/>
      <c r="W877" s="248"/>
      <c r="X877" s="342"/>
      <c r="Y877" s="336"/>
      <c r="Z877" s="123"/>
      <c r="AA877" s="33"/>
      <c r="AB877" s="123"/>
      <c r="AC877" s="33"/>
      <c r="AD877" s="123"/>
      <c r="AE877" s="33"/>
      <c r="AF877" s="123"/>
      <c r="AG877" s="243"/>
      <c r="AH877" s="33"/>
      <c r="AI877" s="245"/>
      <c r="AJ877" s="125"/>
      <c r="AK877" s="91"/>
      <c r="AL877" s="126"/>
      <c r="AM877" s="91"/>
      <c r="AN877" s="91"/>
      <c r="AO877" s="197">
        <f t="shared" si="55"/>
        <v>0</v>
      </c>
      <c r="AP877" s="126"/>
      <c r="AQ877" s="216"/>
      <c r="AR877" s="127"/>
      <c r="AS877" s="269"/>
      <c r="AT877" s="94"/>
      <c r="AU877" s="84"/>
      <c r="AV877" s="80"/>
      <c r="AW877" s="81"/>
      <c r="AX877" s="77"/>
      <c r="AY877" s="107"/>
      <c r="AZ877" s="220">
        <f t="shared" si="52"/>
        <v>0</v>
      </c>
      <c r="BA877" s="220">
        <f t="shared" si="53"/>
        <v>0</v>
      </c>
    </row>
    <row r="878" spans="1:53" ht="50.1" customHeight="1" x14ac:dyDescent="0.25">
      <c r="A878" s="17">
        <f t="shared" si="54"/>
        <v>864</v>
      </c>
      <c r="B878" s="229"/>
      <c r="C878" s="222"/>
      <c r="D878" s="112"/>
      <c r="E878" s="128"/>
      <c r="F878" s="129"/>
      <c r="G878" s="130"/>
      <c r="H878" s="131"/>
      <c r="I878" s="132"/>
      <c r="J878" s="108"/>
      <c r="K878" s="133"/>
      <c r="L878" s="134"/>
      <c r="M878" s="334"/>
      <c r="N878" s="343"/>
      <c r="O878" s="135"/>
      <c r="P878" s="82"/>
      <c r="Q878" s="135"/>
      <c r="R878" s="82"/>
      <c r="S878" s="299"/>
      <c r="T878" s="305"/>
      <c r="U878" s="298"/>
      <c r="V878" s="304"/>
      <c r="W878" s="249"/>
      <c r="X878" s="344"/>
      <c r="Y878" s="337"/>
      <c r="Z878" s="33"/>
      <c r="AA878" s="83"/>
      <c r="AB878" s="33"/>
      <c r="AC878" s="83"/>
      <c r="AD878" s="33"/>
      <c r="AE878" s="83"/>
      <c r="AF878" s="33"/>
      <c r="AG878" s="244"/>
      <c r="AH878" s="83"/>
      <c r="AI878" s="246"/>
      <c r="AJ878" s="102"/>
      <c r="AK878" s="92"/>
      <c r="AL878" s="91"/>
      <c r="AM878" s="92"/>
      <c r="AN878" s="351"/>
      <c r="AO878" s="197">
        <f t="shared" si="55"/>
        <v>0</v>
      </c>
      <c r="AP878" s="91"/>
      <c r="AQ878" s="217"/>
      <c r="AR878" s="103"/>
      <c r="AS878" s="264"/>
      <c r="AT878" s="94"/>
      <c r="AU878" s="84"/>
      <c r="AV878" s="136"/>
      <c r="AW878" s="77"/>
      <c r="AX878" s="137"/>
      <c r="AY878" s="138"/>
      <c r="AZ878" s="220">
        <f t="shared" si="52"/>
        <v>0</v>
      </c>
      <c r="BA878" s="220">
        <f t="shared" si="53"/>
        <v>0</v>
      </c>
    </row>
    <row r="879" spans="1:53" ht="50.1" customHeight="1" x14ac:dyDescent="0.25">
      <c r="A879" s="17">
        <f t="shared" si="54"/>
        <v>865</v>
      </c>
      <c r="B879" s="228"/>
      <c r="C879" s="221"/>
      <c r="D879" s="88"/>
      <c r="E879" s="100"/>
      <c r="F879" s="95"/>
      <c r="G879" s="114"/>
      <c r="H879" s="96"/>
      <c r="I879" s="97"/>
      <c r="J879" s="98"/>
      <c r="K879" s="101"/>
      <c r="L879" s="124"/>
      <c r="M879" s="333"/>
      <c r="N879" s="341"/>
      <c r="O879" s="82"/>
      <c r="P879" s="93"/>
      <c r="Q879" s="82"/>
      <c r="R879" s="93"/>
      <c r="S879" s="298"/>
      <c r="T879" s="304"/>
      <c r="U879" s="307"/>
      <c r="V879" s="309"/>
      <c r="W879" s="248"/>
      <c r="X879" s="342"/>
      <c r="Y879" s="336"/>
      <c r="Z879" s="123"/>
      <c r="AA879" s="33"/>
      <c r="AB879" s="123"/>
      <c r="AC879" s="33"/>
      <c r="AD879" s="123"/>
      <c r="AE879" s="33"/>
      <c r="AF879" s="123"/>
      <c r="AG879" s="243"/>
      <c r="AH879" s="33"/>
      <c r="AI879" s="245"/>
      <c r="AJ879" s="125"/>
      <c r="AK879" s="91"/>
      <c r="AL879" s="126"/>
      <c r="AM879" s="91"/>
      <c r="AN879" s="91"/>
      <c r="AO879" s="197">
        <f t="shared" si="55"/>
        <v>0</v>
      </c>
      <c r="AP879" s="126"/>
      <c r="AQ879" s="216"/>
      <c r="AR879" s="127"/>
      <c r="AS879" s="269"/>
      <c r="AT879" s="94"/>
      <c r="AU879" s="84"/>
      <c r="AV879" s="80"/>
      <c r="AW879" s="81"/>
      <c r="AX879" s="77"/>
      <c r="AY879" s="107"/>
      <c r="AZ879" s="220">
        <f t="shared" si="52"/>
        <v>0</v>
      </c>
      <c r="BA879" s="220">
        <f t="shared" si="53"/>
        <v>0</v>
      </c>
    </row>
    <row r="880" spans="1:53" ht="50.1" customHeight="1" x14ac:dyDescent="0.25">
      <c r="A880" s="17">
        <f t="shared" si="54"/>
        <v>866</v>
      </c>
      <c r="B880" s="229"/>
      <c r="C880" s="222"/>
      <c r="D880" s="112"/>
      <c r="E880" s="128"/>
      <c r="F880" s="129"/>
      <c r="G880" s="130"/>
      <c r="H880" s="131"/>
      <c r="I880" s="132"/>
      <c r="J880" s="108"/>
      <c r="K880" s="133"/>
      <c r="L880" s="134"/>
      <c r="M880" s="334"/>
      <c r="N880" s="343"/>
      <c r="O880" s="135"/>
      <c r="P880" s="82"/>
      <c r="Q880" s="135"/>
      <c r="R880" s="82"/>
      <c r="S880" s="299"/>
      <c r="T880" s="305"/>
      <c r="U880" s="298"/>
      <c r="V880" s="304"/>
      <c r="W880" s="249"/>
      <c r="X880" s="344"/>
      <c r="Y880" s="337"/>
      <c r="Z880" s="33"/>
      <c r="AA880" s="83"/>
      <c r="AB880" s="33"/>
      <c r="AC880" s="83"/>
      <c r="AD880" s="33"/>
      <c r="AE880" s="83"/>
      <c r="AF880" s="33"/>
      <c r="AG880" s="244"/>
      <c r="AH880" s="83"/>
      <c r="AI880" s="246"/>
      <c r="AJ880" s="102"/>
      <c r="AK880" s="92"/>
      <c r="AL880" s="91"/>
      <c r="AM880" s="92"/>
      <c r="AN880" s="351"/>
      <c r="AO880" s="197">
        <f t="shared" si="55"/>
        <v>0</v>
      </c>
      <c r="AP880" s="91"/>
      <c r="AQ880" s="217"/>
      <c r="AR880" s="103"/>
      <c r="AS880" s="264"/>
      <c r="AT880" s="94"/>
      <c r="AU880" s="84"/>
      <c r="AV880" s="136"/>
      <c r="AW880" s="77"/>
      <c r="AX880" s="137"/>
      <c r="AY880" s="138"/>
      <c r="AZ880" s="220">
        <f t="shared" si="52"/>
        <v>0</v>
      </c>
      <c r="BA880" s="220">
        <f t="shared" si="53"/>
        <v>0</v>
      </c>
    </row>
    <row r="881" spans="1:53" ht="50.1" customHeight="1" x14ac:dyDescent="0.25">
      <c r="A881" s="17">
        <f t="shared" si="54"/>
        <v>867</v>
      </c>
      <c r="B881" s="228"/>
      <c r="C881" s="221"/>
      <c r="D881" s="88"/>
      <c r="E881" s="100"/>
      <c r="F881" s="95"/>
      <c r="G881" s="114"/>
      <c r="H881" s="96"/>
      <c r="I881" s="97"/>
      <c r="J881" s="98"/>
      <c r="K881" s="101"/>
      <c r="L881" s="124"/>
      <c r="M881" s="333"/>
      <c r="N881" s="341"/>
      <c r="O881" s="82"/>
      <c r="P881" s="93"/>
      <c r="Q881" s="82"/>
      <c r="R881" s="93"/>
      <c r="S881" s="298"/>
      <c r="T881" s="304"/>
      <c r="U881" s="307"/>
      <c r="V881" s="309"/>
      <c r="W881" s="248"/>
      <c r="X881" s="342"/>
      <c r="Y881" s="336"/>
      <c r="Z881" s="123"/>
      <c r="AA881" s="33"/>
      <c r="AB881" s="123"/>
      <c r="AC881" s="33"/>
      <c r="AD881" s="123"/>
      <c r="AE881" s="33"/>
      <c r="AF881" s="123"/>
      <c r="AG881" s="243"/>
      <c r="AH881" s="33"/>
      <c r="AI881" s="245"/>
      <c r="AJ881" s="125"/>
      <c r="AK881" s="91"/>
      <c r="AL881" s="126"/>
      <c r="AM881" s="91"/>
      <c r="AN881" s="91"/>
      <c r="AO881" s="197">
        <f t="shared" si="55"/>
        <v>0</v>
      </c>
      <c r="AP881" s="126"/>
      <c r="AQ881" s="216"/>
      <c r="AR881" s="127"/>
      <c r="AS881" s="269"/>
      <c r="AT881" s="94"/>
      <c r="AU881" s="84"/>
      <c r="AV881" s="80"/>
      <c r="AW881" s="81"/>
      <c r="AX881" s="77"/>
      <c r="AY881" s="107"/>
      <c r="AZ881" s="220">
        <f t="shared" si="52"/>
        <v>0</v>
      </c>
      <c r="BA881" s="220">
        <f t="shared" si="53"/>
        <v>0</v>
      </c>
    </row>
    <row r="882" spans="1:53" ht="50.1" customHeight="1" x14ac:dyDescent="0.25">
      <c r="A882" s="17">
        <f t="shared" si="54"/>
        <v>868</v>
      </c>
      <c r="B882" s="229"/>
      <c r="C882" s="222"/>
      <c r="D882" s="112"/>
      <c r="E882" s="128"/>
      <c r="F882" s="129"/>
      <c r="G882" s="130"/>
      <c r="H882" s="131"/>
      <c r="I882" s="132"/>
      <c r="J882" s="108"/>
      <c r="K882" s="133"/>
      <c r="L882" s="134"/>
      <c r="M882" s="334"/>
      <c r="N882" s="343"/>
      <c r="O882" s="135"/>
      <c r="P882" s="82"/>
      <c r="Q882" s="135"/>
      <c r="R882" s="82"/>
      <c r="S882" s="299"/>
      <c r="T882" s="305"/>
      <c r="U882" s="298"/>
      <c r="V882" s="304"/>
      <c r="W882" s="249"/>
      <c r="X882" s="344"/>
      <c r="Y882" s="337"/>
      <c r="Z882" s="33"/>
      <c r="AA882" s="83"/>
      <c r="AB882" s="33"/>
      <c r="AC882" s="83"/>
      <c r="AD882" s="33"/>
      <c r="AE882" s="83"/>
      <c r="AF882" s="33"/>
      <c r="AG882" s="244"/>
      <c r="AH882" s="83"/>
      <c r="AI882" s="246"/>
      <c r="AJ882" s="102"/>
      <c r="AK882" s="92"/>
      <c r="AL882" s="91"/>
      <c r="AM882" s="92"/>
      <c r="AN882" s="351"/>
      <c r="AO882" s="197">
        <f t="shared" si="55"/>
        <v>0</v>
      </c>
      <c r="AP882" s="91"/>
      <c r="AQ882" s="217"/>
      <c r="AR882" s="103"/>
      <c r="AS882" s="264"/>
      <c r="AT882" s="94"/>
      <c r="AU882" s="84"/>
      <c r="AV882" s="136"/>
      <c r="AW882" s="77"/>
      <c r="AX882" s="137"/>
      <c r="AY882" s="138"/>
      <c r="AZ882" s="220">
        <f t="shared" si="52"/>
        <v>0</v>
      </c>
      <c r="BA882" s="220">
        <f t="shared" si="53"/>
        <v>0</v>
      </c>
    </row>
    <row r="883" spans="1:53" ht="50.1" customHeight="1" x14ac:dyDescent="0.25">
      <c r="A883" s="17">
        <f t="shared" si="54"/>
        <v>869</v>
      </c>
      <c r="B883" s="228"/>
      <c r="C883" s="221"/>
      <c r="D883" s="88"/>
      <c r="E883" s="100"/>
      <c r="F883" s="95"/>
      <c r="G883" s="114"/>
      <c r="H883" s="96"/>
      <c r="I883" s="97"/>
      <c r="J883" s="98"/>
      <c r="K883" s="101"/>
      <c r="L883" s="124"/>
      <c r="M883" s="333"/>
      <c r="N883" s="341"/>
      <c r="O883" s="82"/>
      <c r="P883" s="93"/>
      <c r="Q883" s="82"/>
      <c r="R883" s="93"/>
      <c r="S883" s="298"/>
      <c r="T883" s="304"/>
      <c r="U883" s="307"/>
      <c r="V883" s="309"/>
      <c r="W883" s="248"/>
      <c r="X883" s="342"/>
      <c r="Y883" s="336"/>
      <c r="Z883" s="123"/>
      <c r="AA883" s="33"/>
      <c r="AB883" s="123"/>
      <c r="AC883" s="33"/>
      <c r="AD883" s="123"/>
      <c r="AE883" s="33"/>
      <c r="AF883" s="123"/>
      <c r="AG883" s="243"/>
      <c r="AH883" s="33"/>
      <c r="AI883" s="245"/>
      <c r="AJ883" s="125"/>
      <c r="AK883" s="91"/>
      <c r="AL883" s="126"/>
      <c r="AM883" s="91"/>
      <c r="AN883" s="91"/>
      <c r="AO883" s="197">
        <f t="shared" si="55"/>
        <v>0</v>
      </c>
      <c r="AP883" s="126"/>
      <c r="AQ883" s="216"/>
      <c r="AR883" s="127"/>
      <c r="AS883" s="269"/>
      <c r="AT883" s="94"/>
      <c r="AU883" s="84"/>
      <c r="AV883" s="80"/>
      <c r="AW883" s="81"/>
      <c r="AX883" s="77"/>
      <c r="AY883" s="107"/>
      <c r="AZ883" s="220">
        <f t="shared" si="52"/>
        <v>0</v>
      </c>
      <c r="BA883" s="220">
        <f t="shared" si="53"/>
        <v>0</v>
      </c>
    </row>
    <row r="884" spans="1:53" ht="50.1" customHeight="1" x14ac:dyDescent="0.25">
      <c r="A884" s="17">
        <f t="shared" si="54"/>
        <v>870</v>
      </c>
      <c r="B884" s="229"/>
      <c r="C884" s="222"/>
      <c r="D884" s="112"/>
      <c r="E884" s="128"/>
      <c r="F884" s="129"/>
      <c r="G884" s="130"/>
      <c r="H884" s="131"/>
      <c r="I884" s="132"/>
      <c r="J884" s="108"/>
      <c r="K884" s="133"/>
      <c r="L884" s="134"/>
      <c r="M884" s="334"/>
      <c r="N884" s="343"/>
      <c r="O884" s="135"/>
      <c r="P884" s="82"/>
      <c r="Q884" s="135"/>
      <c r="R884" s="82"/>
      <c r="S884" s="299"/>
      <c r="T884" s="305"/>
      <c r="U884" s="298"/>
      <c r="V884" s="304"/>
      <c r="W884" s="249"/>
      <c r="X884" s="344"/>
      <c r="Y884" s="337"/>
      <c r="Z884" s="33"/>
      <c r="AA884" s="83"/>
      <c r="AB884" s="33"/>
      <c r="AC884" s="83"/>
      <c r="AD884" s="33"/>
      <c r="AE884" s="83"/>
      <c r="AF884" s="33"/>
      <c r="AG884" s="244"/>
      <c r="AH884" s="83"/>
      <c r="AI884" s="246"/>
      <c r="AJ884" s="102"/>
      <c r="AK884" s="92"/>
      <c r="AL884" s="91"/>
      <c r="AM884" s="92"/>
      <c r="AN884" s="351"/>
      <c r="AO884" s="197">
        <f t="shared" si="55"/>
        <v>0</v>
      </c>
      <c r="AP884" s="91"/>
      <c r="AQ884" s="217"/>
      <c r="AR884" s="103"/>
      <c r="AS884" s="264"/>
      <c r="AT884" s="94"/>
      <c r="AU884" s="84"/>
      <c r="AV884" s="136"/>
      <c r="AW884" s="77"/>
      <c r="AX884" s="137"/>
      <c r="AY884" s="138"/>
      <c r="AZ884" s="220">
        <f t="shared" si="52"/>
        <v>0</v>
      </c>
      <c r="BA884" s="220">
        <f t="shared" si="53"/>
        <v>0</v>
      </c>
    </row>
    <row r="885" spans="1:53" ht="50.1" customHeight="1" x14ac:dyDescent="0.25">
      <c r="A885" s="17">
        <f t="shared" si="54"/>
        <v>871</v>
      </c>
      <c r="B885" s="228"/>
      <c r="C885" s="221"/>
      <c r="D885" s="88"/>
      <c r="E885" s="100"/>
      <c r="F885" s="95"/>
      <c r="G885" s="114"/>
      <c r="H885" s="96"/>
      <c r="I885" s="97"/>
      <c r="J885" s="98"/>
      <c r="K885" s="101"/>
      <c r="L885" s="124"/>
      <c r="M885" s="333"/>
      <c r="N885" s="341"/>
      <c r="O885" s="82"/>
      <c r="P885" s="93"/>
      <c r="Q885" s="82"/>
      <c r="R885" s="93"/>
      <c r="S885" s="298"/>
      <c r="T885" s="304"/>
      <c r="U885" s="307"/>
      <c r="V885" s="309"/>
      <c r="W885" s="248"/>
      <c r="X885" s="342"/>
      <c r="Y885" s="336"/>
      <c r="Z885" s="123"/>
      <c r="AA885" s="33"/>
      <c r="AB885" s="123"/>
      <c r="AC885" s="33"/>
      <c r="AD885" s="123"/>
      <c r="AE885" s="33"/>
      <c r="AF885" s="123"/>
      <c r="AG885" s="243"/>
      <c r="AH885" s="33"/>
      <c r="AI885" s="245"/>
      <c r="AJ885" s="125"/>
      <c r="AK885" s="91"/>
      <c r="AL885" s="126"/>
      <c r="AM885" s="91"/>
      <c r="AN885" s="91"/>
      <c r="AO885" s="197">
        <f t="shared" si="55"/>
        <v>0</v>
      </c>
      <c r="AP885" s="126"/>
      <c r="AQ885" s="216"/>
      <c r="AR885" s="127"/>
      <c r="AS885" s="269"/>
      <c r="AT885" s="94"/>
      <c r="AU885" s="84"/>
      <c r="AV885" s="80"/>
      <c r="AW885" s="81"/>
      <c r="AX885" s="77"/>
      <c r="AY885" s="107"/>
      <c r="AZ885" s="220">
        <f t="shared" si="52"/>
        <v>0</v>
      </c>
      <c r="BA885" s="220">
        <f t="shared" si="53"/>
        <v>0</v>
      </c>
    </row>
    <row r="886" spans="1:53" ht="50.1" customHeight="1" x14ac:dyDescent="0.25">
      <c r="A886" s="17">
        <f t="shared" si="54"/>
        <v>872</v>
      </c>
      <c r="B886" s="229"/>
      <c r="C886" s="222"/>
      <c r="D886" s="112"/>
      <c r="E886" s="128"/>
      <c r="F886" s="129"/>
      <c r="G886" s="130"/>
      <c r="H886" s="131"/>
      <c r="I886" s="132"/>
      <c r="J886" s="108"/>
      <c r="K886" s="133"/>
      <c r="L886" s="134"/>
      <c r="M886" s="334"/>
      <c r="N886" s="343"/>
      <c r="O886" s="135"/>
      <c r="P886" s="82"/>
      <c r="Q886" s="135"/>
      <c r="R886" s="82"/>
      <c r="S886" s="299"/>
      <c r="T886" s="305"/>
      <c r="U886" s="298"/>
      <c r="V886" s="304"/>
      <c r="W886" s="249"/>
      <c r="X886" s="344"/>
      <c r="Y886" s="337"/>
      <c r="Z886" s="33"/>
      <c r="AA886" s="83"/>
      <c r="AB886" s="33"/>
      <c r="AC886" s="83"/>
      <c r="AD886" s="33"/>
      <c r="AE886" s="83"/>
      <c r="AF886" s="33"/>
      <c r="AG886" s="244"/>
      <c r="AH886" s="83"/>
      <c r="AI886" s="246"/>
      <c r="AJ886" s="102"/>
      <c r="AK886" s="92"/>
      <c r="AL886" s="91"/>
      <c r="AM886" s="92"/>
      <c r="AN886" s="351"/>
      <c r="AO886" s="197">
        <f t="shared" si="55"/>
        <v>0</v>
      </c>
      <c r="AP886" s="91"/>
      <c r="AQ886" s="217"/>
      <c r="AR886" s="103"/>
      <c r="AS886" s="264"/>
      <c r="AT886" s="94"/>
      <c r="AU886" s="84"/>
      <c r="AV886" s="136"/>
      <c r="AW886" s="77"/>
      <c r="AX886" s="137"/>
      <c r="AY886" s="138"/>
      <c r="AZ886" s="220">
        <f t="shared" si="52"/>
        <v>0</v>
      </c>
      <c r="BA886" s="220">
        <f t="shared" si="53"/>
        <v>0</v>
      </c>
    </row>
    <row r="887" spans="1:53" ht="50.1" customHeight="1" x14ac:dyDescent="0.25">
      <c r="A887" s="17">
        <f t="shared" si="54"/>
        <v>873</v>
      </c>
      <c r="B887" s="228"/>
      <c r="C887" s="221"/>
      <c r="D887" s="88"/>
      <c r="E887" s="100"/>
      <c r="F887" s="95"/>
      <c r="G887" s="114"/>
      <c r="H887" s="96"/>
      <c r="I887" s="97"/>
      <c r="J887" s="98"/>
      <c r="K887" s="101"/>
      <c r="L887" s="124"/>
      <c r="M887" s="333"/>
      <c r="N887" s="341"/>
      <c r="O887" s="82"/>
      <c r="P887" s="93"/>
      <c r="Q887" s="82"/>
      <c r="R887" s="93"/>
      <c r="S887" s="298"/>
      <c r="T887" s="304"/>
      <c r="U887" s="307"/>
      <c r="V887" s="309"/>
      <c r="W887" s="248"/>
      <c r="X887" s="342"/>
      <c r="Y887" s="336"/>
      <c r="Z887" s="123"/>
      <c r="AA887" s="33"/>
      <c r="AB887" s="123"/>
      <c r="AC887" s="33"/>
      <c r="AD887" s="123"/>
      <c r="AE887" s="33"/>
      <c r="AF887" s="123"/>
      <c r="AG887" s="243"/>
      <c r="AH887" s="33"/>
      <c r="AI887" s="245"/>
      <c r="AJ887" s="125"/>
      <c r="AK887" s="91"/>
      <c r="AL887" s="126"/>
      <c r="AM887" s="91"/>
      <c r="AN887" s="91"/>
      <c r="AO887" s="197">
        <f t="shared" si="55"/>
        <v>0</v>
      </c>
      <c r="AP887" s="126"/>
      <c r="AQ887" s="216"/>
      <c r="AR887" s="127"/>
      <c r="AS887" s="269"/>
      <c r="AT887" s="94"/>
      <c r="AU887" s="84"/>
      <c r="AV887" s="80"/>
      <c r="AW887" s="81"/>
      <c r="AX887" s="77"/>
      <c r="AY887" s="107"/>
      <c r="AZ887" s="220">
        <f t="shared" si="52"/>
        <v>0</v>
      </c>
      <c r="BA887" s="220">
        <f t="shared" si="53"/>
        <v>0</v>
      </c>
    </row>
    <row r="888" spans="1:53" ht="50.1" customHeight="1" x14ac:dyDescent="0.25">
      <c r="A888" s="17">
        <f t="shared" si="54"/>
        <v>874</v>
      </c>
      <c r="B888" s="229"/>
      <c r="C888" s="222"/>
      <c r="D888" s="112"/>
      <c r="E888" s="128"/>
      <c r="F888" s="129"/>
      <c r="G888" s="130"/>
      <c r="H888" s="131"/>
      <c r="I888" s="132"/>
      <c r="J888" s="108"/>
      <c r="K888" s="133"/>
      <c r="L888" s="134"/>
      <c r="M888" s="334"/>
      <c r="N888" s="343"/>
      <c r="O888" s="135"/>
      <c r="P888" s="82"/>
      <c r="Q888" s="135"/>
      <c r="R888" s="82"/>
      <c r="S888" s="299"/>
      <c r="T888" s="305"/>
      <c r="U888" s="298"/>
      <c r="V888" s="304"/>
      <c r="W888" s="249"/>
      <c r="X888" s="344"/>
      <c r="Y888" s="337"/>
      <c r="Z888" s="33"/>
      <c r="AA888" s="83"/>
      <c r="AB888" s="33"/>
      <c r="AC888" s="83"/>
      <c r="AD888" s="33"/>
      <c r="AE888" s="83"/>
      <c r="AF888" s="33"/>
      <c r="AG888" s="244"/>
      <c r="AH888" s="83"/>
      <c r="AI888" s="246"/>
      <c r="AJ888" s="102"/>
      <c r="AK888" s="92"/>
      <c r="AL888" s="91"/>
      <c r="AM888" s="92"/>
      <c r="AN888" s="351"/>
      <c r="AO888" s="197">
        <f t="shared" si="55"/>
        <v>0</v>
      </c>
      <c r="AP888" s="91"/>
      <c r="AQ888" s="217"/>
      <c r="AR888" s="103"/>
      <c r="AS888" s="264"/>
      <c r="AT888" s="94"/>
      <c r="AU888" s="84"/>
      <c r="AV888" s="136"/>
      <c r="AW888" s="77"/>
      <c r="AX888" s="137"/>
      <c r="AY888" s="138"/>
      <c r="AZ888" s="220">
        <f t="shared" si="52"/>
        <v>0</v>
      </c>
      <c r="BA888" s="220">
        <f t="shared" si="53"/>
        <v>0</v>
      </c>
    </row>
    <row r="889" spans="1:53" ht="50.1" customHeight="1" x14ac:dyDescent="0.25">
      <c r="A889" s="17">
        <f t="shared" si="54"/>
        <v>875</v>
      </c>
      <c r="B889" s="228"/>
      <c r="C889" s="221"/>
      <c r="D889" s="88"/>
      <c r="E889" s="100"/>
      <c r="F889" s="95"/>
      <c r="G889" s="114"/>
      <c r="H889" s="96"/>
      <c r="I889" s="97"/>
      <c r="J889" s="98"/>
      <c r="K889" s="101"/>
      <c r="L889" s="124"/>
      <c r="M889" s="333"/>
      <c r="N889" s="341"/>
      <c r="O889" s="82"/>
      <c r="P889" s="93"/>
      <c r="Q889" s="82"/>
      <c r="R889" s="93"/>
      <c r="S889" s="298"/>
      <c r="T889" s="304"/>
      <c r="U889" s="307"/>
      <c r="V889" s="309"/>
      <c r="W889" s="248"/>
      <c r="X889" s="342"/>
      <c r="Y889" s="336"/>
      <c r="Z889" s="123"/>
      <c r="AA889" s="33"/>
      <c r="AB889" s="123"/>
      <c r="AC889" s="33"/>
      <c r="AD889" s="123"/>
      <c r="AE889" s="33"/>
      <c r="AF889" s="123"/>
      <c r="AG889" s="243"/>
      <c r="AH889" s="33"/>
      <c r="AI889" s="245"/>
      <c r="AJ889" s="125"/>
      <c r="AK889" s="91"/>
      <c r="AL889" s="126"/>
      <c r="AM889" s="91"/>
      <c r="AN889" s="91"/>
      <c r="AO889" s="197">
        <f t="shared" si="55"/>
        <v>0</v>
      </c>
      <c r="AP889" s="126"/>
      <c r="AQ889" s="216"/>
      <c r="AR889" s="127"/>
      <c r="AS889" s="269"/>
      <c r="AT889" s="94"/>
      <c r="AU889" s="84"/>
      <c r="AV889" s="80"/>
      <c r="AW889" s="81"/>
      <c r="AX889" s="77"/>
      <c r="AY889" s="107"/>
      <c r="AZ889" s="220">
        <f t="shared" si="52"/>
        <v>0</v>
      </c>
      <c r="BA889" s="220">
        <f t="shared" si="53"/>
        <v>0</v>
      </c>
    </row>
    <row r="890" spans="1:53" ht="50.1" customHeight="1" x14ac:dyDescent="0.25">
      <c r="A890" s="17">
        <f t="shared" si="54"/>
        <v>876</v>
      </c>
      <c r="B890" s="229"/>
      <c r="C890" s="222"/>
      <c r="D890" s="112"/>
      <c r="E890" s="128"/>
      <c r="F890" s="129"/>
      <c r="G890" s="130"/>
      <c r="H890" s="131"/>
      <c r="I890" s="132"/>
      <c r="J890" s="108"/>
      <c r="K890" s="133"/>
      <c r="L890" s="134"/>
      <c r="M890" s="334"/>
      <c r="N890" s="343"/>
      <c r="O890" s="135"/>
      <c r="P890" s="82"/>
      <c r="Q890" s="135"/>
      <c r="R890" s="82"/>
      <c r="S890" s="299"/>
      <c r="T890" s="305"/>
      <c r="U890" s="298"/>
      <c r="V890" s="304"/>
      <c r="W890" s="249"/>
      <c r="X890" s="344"/>
      <c r="Y890" s="337"/>
      <c r="Z890" s="33"/>
      <c r="AA890" s="83"/>
      <c r="AB890" s="33"/>
      <c r="AC890" s="83"/>
      <c r="AD890" s="33"/>
      <c r="AE890" s="83"/>
      <c r="AF890" s="33"/>
      <c r="AG890" s="244"/>
      <c r="AH890" s="83"/>
      <c r="AI890" s="246"/>
      <c r="AJ890" s="102"/>
      <c r="AK890" s="92"/>
      <c r="AL890" s="91"/>
      <c r="AM890" s="92"/>
      <c r="AN890" s="351"/>
      <c r="AO890" s="197">
        <f t="shared" si="55"/>
        <v>0</v>
      </c>
      <c r="AP890" s="91"/>
      <c r="AQ890" s="217"/>
      <c r="AR890" s="103"/>
      <c r="AS890" s="264"/>
      <c r="AT890" s="94"/>
      <c r="AU890" s="84"/>
      <c r="AV890" s="136"/>
      <c r="AW890" s="77"/>
      <c r="AX890" s="137"/>
      <c r="AY890" s="138"/>
      <c r="AZ890" s="220">
        <f t="shared" si="52"/>
        <v>0</v>
      </c>
      <c r="BA890" s="220">
        <f t="shared" si="53"/>
        <v>0</v>
      </c>
    </row>
    <row r="891" spans="1:53" ht="50.1" customHeight="1" x14ac:dyDescent="0.25">
      <c r="A891" s="17">
        <f t="shared" si="54"/>
        <v>877</v>
      </c>
      <c r="B891" s="228"/>
      <c r="C891" s="221"/>
      <c r="D891" s="88"/>
      <c r="E891" s="100"/>
      <c r="F891" s="95"/>
      <c r="G891" s="114"/>
      <c r="H891" s="96"/>
      <c r="I891" s="97"/>
      <c r="J891" s="98"/>
      <c r="K891" s="101"/>
      <c r="L891" s="124"/>
      <c r="M891" s="333"/>
      <c r="N891" s="341"/>
      <c r="O891" s="82"/>
      <c r="P891" s="93"/>
      <c r="Q891" s="82"/>
      <c r="R891" s="93"/>
      <c r="S891" s="298"/>
      <c r="T891" s="304"/>
      <c r="U891" s="307"/>
      <c r="V891" s="309"/>
      <c r="W891" s="248"/>
      <c r="X891" s="342"/>
      <c r="Y891" s="336"/>
      <c r="Z891" s="123"/>
      <c r="AA891" s="33"/>
      <c r="AB891" s="123"/>
      <c r="AC891" s="33"/>
      <c r="AD891" s="123"/>
      <c r="AE891" s="33"/>
      <c r="AF891" s="123"/>
      <c r="AG891" s="243"/>
      <c r="AH891" s="33"/>
      <c r="AI891" s="245"/>
      <c r="AJ891" s="125"/>
      <c r="AK891" s="91"/>
      <c r="AL891" s="126"/>
      <c r="AM891" s="91"/>
      <c r="AN891" s="91"/>
      <c r="AO891" s="197">
        <f t="shared" si="55"/>
        <v>0</v>
      </c>
      <c r="AP891" s="126"/>
      <c r="AQ891" s="216"/>
      <c r="AR891" s="127"/>
      <c r="AS891" s="269"/>
      <c r="AT891" s="94"/>
      <c r="AU891" s="84"/>
      <c r="AV891" s="80"/>
      <c r="AW891" s="81"/>
      <c r="AX891" s="77"/>
      <c r="AY891" s="107"/>
      <c r="AZ891" s="220">
        <f t="shared" si="52"/>
        <v>0</v>
      </c>
      <c r="BA891" s="220">
        <f t="shared" si="53"/>
        <v>0</v>
      </c>
    </row>
    <row r="892" spans="1:53" ht="50.1" customHeight="1" x14ac:dyDescent="0.25">
      <c r="A892" s="17">
        <f t="shared" si="54"/>
        <v>878</v>
      </c>
      <c r="B892" s="229"/>
      <c r="C892" s="222"/>
      <c r="D892" s="112"/>
      <c r="E892" s="128"/>
      <c r="F892" s="129"/>
      <c r="G892" s="130"/>
      <c r="H892" s="131"/>
      <c r="I892" s="132"/>
      <c r="J892" s="108"/>
      <c r="K892" s="133"/>
      <c r="L892" s="134"/>
      <c r="M892" s="334"/>
      <c r="N892" s="343"/>
      <c r="O892" s="135"/>
      <c r="P892" s="82"/>
      <c r="Q892" s="135"/>
      <c r="R892" s="82"/>
      <c r="S892" s="299"/>
      <c r="T892" s="305"/>
      <c r="U892" s="298"/>
      <c r="V892" s="304"/>
      <c r="W892" s="249"/>
      <c r="X892" s="344"/>
      <c r="Y892" s="337"/>
      <c r="Z892" s="33"/>
      <c r="AA892" s="83"/>
      <c r="AB892" s="33"/>
      <c r="AC892" s="83"/>
      <c r="AD892" s="33"/>
      <c r="AE892" s="83"/>
      <c r="AF892" s="33"/>
      <c r="AG892" s="244"/>
      <c r="AH892" s="83"/>
      <c r="AI892" s="246"/>
      <c r="AJ892" s="102"/>
      <c r="AK892" s="92"/>
      <c r="AL892" s="91"/>
      <c r="AM892" s="92"/>
      <c r="AN892" s="351"/>
      <c r="AO892" s="197">
        <f t="shared" si="55"/>
        <v>0</v>
      </c>
      <c r="AP892" s="91"/>
      <c r="AQ892" s="217"/>
      <c r="AR892" s="103"/>
      <c r="AS892" s="264"/>
      <c r="AT892" s="94"/>
      <c r="AU892" s="84"/>
      <c r="AV892" s="136"/>
      <c r="AW892" s="77"/>
      <c r="AX892" s="137"/>
      <c r="AY892" s="138"/>
      <c r="AZ892" s="220">
        <f t="shared" si="52"/>
        <v>0</v>
      </c>
      <c r="BA892" s="220">
        <f t="shared" si="53"/>
        <v>0</v>
      </c>
    </row>
    <row r="893" spans="1:53" ht="50.1" customHeight="1" x14ac:dyDescent="0.25">
      <c r="A893" s="17">
        <f t="shared" si="54"/>
        <v>879</v>
      </c>
      <c r="B893" s="228"/>
      <c r="C893" s="221"/>
      <c r="D893" s="88"/>
      <c r="E893" s="100"/>
      <c r="F893" s="95"/>
      <c r="G893" s="114"/>
      <c r="H893" s="96"/>
      <c r="I893" s="97"/>
      <c r="J893" s="98"/>
      <c r="K893" s="101"/>
      <c r="L893" s="124"/>
      <c r="M893" s="333"/>
      <c r="N893" s="341"/>
      <c r="O893" s="82"/>
      <c r="P893" s="93"/>
      <c r="Q893" s="82"/>
      <c r="R893" s="93"/>
      <c r="S893" s="298"/>
      <c r="T893" s="304"/>
      <c r="U893" s="307"/>
      <c r="V893" s="309"/>
      <c r="W893" s="248"/>
      <c r="X893" s="342"/>
      <c r="Y893" s="336"/>
      <c r="Z893" s="123"/>
      <c r="AA893" s="33"/>
      <c r="AB893" s="123"/>
      <c r="AC893" s="33"/>
      <c r="AD893" s="123"/>
      <c r="AE893" s="33"/>
      <c r="AF893" s="123"/>
      <c r="AG893" s="243"/>
      <c r="AH893" s="33"/>
      <c r="AI893" s="245"/>
      <c r="AJ893" s="125"/>
      <c r="AK893" s="91"/>
      <c r="AL893" s="126"/>
      <c r="AM893" s="91"/>
      <c r="AN893" s="91"/>
      <c r="AO893" s="197">
        <f t="shared" si="55"/>
        <v>0</v>
      </c>
      <c r="AP893" s="126"/>
      <c r="AQ893" s="216"/>
      <c r="AR893" s="127"/>
      <c r="AS893" s="269"/>
      <c r="AT893" s="94"/>
      <c r="AU893" s="84"/>
      <c r="AV893" s="80"/>
      <c r="AW893" s="81"/>
      <c r="AX893" s="77"/>
      <c r="AY893" s="107"/>
      <c r="AZ893" s="220">
        <f t="shared" si="52"/>
        <v>0</v>
      </c>
      <c r="BA893" s="220">
        <f t="shared" si="53"/>
        <v>0</v>
      </c>
    </row>
    <row r="894" spans="1:53" ht="50.1" customHeight="1" x14ac:dyDescent="0.25">
      <c r="A894" s="17">
        <f t="shared" si="54"/>
        <v>880</v>
      </c>
      <c r="B894" s="229"/>
      <c r="C894" s="222"/>
      <c r="D894" s="112"/>
      <c r="E894" s="128"/>
      <c r="F894" s="129"/>
      <c r="G894" s="130"/>
      <c r="H894" s="131"/>
      <c r="I894" s="132"/>
      <c r="J894" s="108"/>
      <c r="K894" s="133"/>
      <c r="L894" s="134"/>
      <c r="M894" s="334"/>
      <c r="N894" s="343"/>
      <c r="O894" s="135"/>
      <c r="P894" s="82"/>
      <c r="Q894" s="135"/>
      <c r="R894" s="82"/>
      <c r="S894" s="299"/>
      <c r="T894" s="305"/>
      <c r="U894" s="298"/>
      <c r="V894" s="304"/>
      <c r="W894" s="249"/>
      <c r="X894" s="344"/>
      <c r="Y894" s="337"/>
      <c r="Z894" s="33"/>
      <c r="AA894" s="83"/>
      <c r="AB894" s="33"/>
      <c r="AC894" s="83"/>
      <c r="AD894" s="33"/>
      <c r="AE894" s="83"/>
      <c r="AF894" s="33"/>
      <c r="AG894" s="244"/>
      <c r="AH894" s="83"/>
      <c r="AI894" s="246"/>
      <c r="AJ894" s="102"/>
      <c r="AK894" s="92"/>
      <c r="AL894" s="91"/>
      <c r="AM894" s="92"/>
      <c r="AN894" s="351"/>
      <c r="AO894" s="197">
        <f t="shared" si="55"/>
        <v>0</v>
      </c>
      <c r="AP894" s="91"/>
      <c r="AQ894" s="217"/>
      <c r="AR894" s="103"/>
      <c r="AS894" s="264"/>
      <c r="AT894" s="94"/>
      <c r="AU894" s="84"/>
      <c r="AV894" s="136"/>
      <c r="AW894" s="77"/>
      <c r="AX894" s="137"/>
      <c r="AY894" s="138"/>
      <c r="AZ894" s="220">
        <f t="shared" si="52"/>
        <v>0</v>
      </c>
      <c r="BA894" s="220">
        <f t="shared" si="53"/>
        <v>0</v>
      </c>
    </row>
    <row r="895" spans="1:53" ht="50.1" customHeight="1" x14ac:dyDescent="0.25">
      <c r="A895" s="17">
        <f t="shared" si="54"/>
        <v>881</v>
      </c>
      <c r="B895" s="228"/>
      <c r="C895" s="221"/>
      <c r="D895" s="88"/>
      <c r="E895" s="100"/>
      <c r="F895" s="95"/>
      <c r="G895" s="114"/>
      <c r="H895" s="96"/>
      <c r="I895" s="97"/>
      <c r="J895" s="98"/>
      <c r="K895" s="101"/>
      <c r="L895" s="124"/>
      <c r="M895" s="333"/>
      <c r="N895" s="341"/>
      <c r="O895" s="82"/>
      <c r="P895" s="93"/>
      <c r="Q895" s="82"/>
      <c r="R895" s="93"/>
      <c r="S895" s="298"/>
      <c r="T895" s="304"/>
      <c r="U895" s="307"/>
      <c r="V895" s="309"/>
      <c r="W895" s="248"/>
      <c r="X895" s="342"/>
      <c r="Y895" s="336"/>
      <c r="Z895" s="123"/>
      <c r="AA895" s="33"/>
      <c r="AB895" s="123"/>
      <c r="AC895" s="33"/>
      <c r="AD895" s="123"/>
      <c r="AE895" s="33"/>
      <c r="AF895" s="123"/>
      <c r="AG895" s="243"/>
      <c r="AH895" s="33"/>
      <c r="AI895" s="245"/>
      <c r="AJ895" s="125"/>
      <c r="AK895" s="91"/>
      <c r="AL895" s="126"/>
      <c r="AM895" s="91"/>
      <c r="AN895" s="91"/>
      <c r="AO895" s="197">
        <f t="shared" si="55"/>
        <v>0</v>
      </c>
      <c r="AP895" s="126"/>
      <c r="AQ895" s="216"/>
      <c r="AR895" s="127"/>
      <c r="AS895" s="269"/>
      <c r="AT895" s="94"/>
      <c r="AU895" s="84"/>
      <c r="AV895" s="80"/>
      <c r="AW895" s="81"/>
      <c r="AX895" s="77"/>
      <c r="AY895" s="107"/>
      <c r="AZ895" s="220">
        <f t="shared" si="52"/>
        <v>0</v>
      </c>
      <c r="BA895" s="220">
        <f t="shared" si="53"/>
        <v>0</v>
      </c>
    </row>
    <row r="896" spans="1:53" ht="50.1" customHeight="1" x14ac:dyDescent="0.25">
      <c r="A896" s="17">
        <f t="shared" si="54"/>
        <v>882</v>
      </c>
      <c r="B896" s="229"/>
      <c r="C896" s="222"/>
      <c r="D896" s="112"/>
      <c r="E896" s="128"/>
      <c r="F896" s="129"/>
      <c r="G896" s="130"/>
      <c r="H896" s="131"/>
      <c r="I896" s="132"/>
      <c r="J896" s="108"/>
      <c r="K896" s="133"/>
      <c r="L896" s="134"/>
      <c r="M896" s="334"/>
      <c r="N896" s="343"/>
      <c r="O896" s="135"/>
      <c r="P896" s="82"/>
      <c r="Q896" s="135"/>
      <c r="R896" s="82"/>
      <c r="S896" s="299"/>
      <c r="T896" s="305"/>
      <c r="U896" s="298"/>
      <c r="V896" s="304"/>
      <c r="W896" s="249"/>
      <c r="X896" s="344"/>
      <c r="Y896" s="337"/>
      <c r="Z896" s="33"/>
      <c r="AA896" s="83"/>
      <c r="AB896" s="33"/>
      <c r="AC896" s="83"/>
      <c r="AD896" s="33"/>
      <c r="AE896" s="83"/>
      <c r="AF896" s="33"/>
      <c r="AG896" s="244"/>
      <c r="AH896" s="83"/>
      <c r="AI896" s="246"/>
      <c r="AJ896" s="102"/>
      <c r="AK896" s="92"/>
      <c r="AL896" s="91"/>
      <c r="AM896" s="92"/>
      <c r="AN896" s="351"/>
      <c r="AO896" s="197">
        <f t="shared" si="55"/>
        <v>0</v>
      </c>
      <c r="AP896" s="91"/>
      <c r="AQ896" s="217"/>
      <c r="AR896" s="103"/>
      <c r="AS896" s="264"/>
      <c r="AT896" s="94"/>
      <c r="AU896" s="84"/>
      <c r="AV896" s="136"/>
      <c r="AW896" s="77"/>
      <c r="AX896" s="137"/>
      <c r="AY896" s="138"/>
      <c r="AZ896" s="220">
        <f t="shared" si="52"/>
        <v>0</v>
      </c>
      <c r="BA896" s="220">
        <f t="shared" si="53"/>
        <v>0</v>
      </c>
    </row>
    <row r="897" spans="1:53" ht="50.1" customHeight="1" x14ac:dyDescent="0.25">
      <c r="A897" s="17">
        <f t="shared" si="54"/>
        <v>883</v>
      </c>
      <c r="B897" s="228"/>
      <c r="C897" s="221"/>
      <c r="D897" s="88"/>
      <c r="E897" s="100"/>
      <c r="F897" s="95"/>
      <c r="G897" s="114"/>
      <c r="H897" s="96"/>
      <c r="I897" s="97"/>
      <c r="J897" s="98"/>
      <c r="K897" s="101"/>
      <c r="L897" s="124"/>
      <c r="M897" s="333"/>
      <c r="N897" s="341"/>
      <c r="O897" s="82"/>
      <c r="P897" s="93"/>
      <c r="Q897" s="82"/>
      <c r="R897" s="93"/>
      <c r="S897" s="298"/>
      <c r="T897" s="304"/>
      <c r="U897" s="307"/>
      <c r="V897" s="309"/>
      <c r="W897" s="248"/>
      <c r="X897" s="342"/>
      <c r="Y897" s="336"/>
      <c r="Z897" s="123"/>
      <c r="AA897" s="33"/>
      <c r="AB897" s="123"/>
      <c r="AC897" s="33"/>
      <c r="AD897" s="123"/>
      <c r="AE897" s="33"/>
      <c r="AF897" s="123"/>
      <c r="AG897" s="243"/>
      <c r="AH897" s="33"/>
      <c r="AI897" s="245"/>
      <c r="AJ897" s="125"/>
      <c r="AK897" s="91"/>
      <c r="AL897" s="126"/>
      <c r="AM897" s="91"/>
      <c r="AN897" s="91"/>
      <c r="AO897" s="197">
        <f t="shared" si="55"/>
        <v>0</v>
      </c>
      <c r="AP897" s="126"/>
      <c r="AQ897" s="216"/>
      <c r="AR897" s="127"/>
      <c r="AS897" s="269"/>
      <c r="AT897" s="94"/>
      <c r="AU897" s="84"/>
      <c r="AV897" s="80"/>
      <c r="AW897" s="81"/>
      <c r="AX897" s="77"/>
      <c r="AY897" s="107"/>
      <c r="AZ897" s="220">
        <f t="shared" si="52"/>
        <v>0</v>
      </c>
      <c r="BA897" s="220">
        <f t="shared" si="53"/>
        <v>0</v>
      </c>
    </row>
    <row r="898" spans="1:53" ht="50.1" customHeight="1" x14ac:dyDescent="0.25">
      <c r="A898" s="17">
        <f t="shared" si="54"/>
        <v>884</v>
      </c>
      <c r="B898" s="229"/>
      <c r="C898" s="222"/>
      <c r="D898" s="112"/>
      <c r="E898" s="128"/>
      <c r="F898" s="129"/>
      <c r="G898" s="130"/>
      <c r="H898" s="131"/>
      <c r="I898" s="132"/>
      <c r="J898" s="108"/>
      <c r="K898" s="133"/>
      <c r="L898" s="134"/>
      <c r="M898" s="334"/>
      <c r="N898" s="343"/>
      <c r="O898" s="135"/>
      <c r="P898" s="82"/>
      <c r="Q898" s="135"/>
      <c r="R898" s="82"/>
      <c r="S898" s="299"/>
      <c r="T898" s="305"/>
      <c r="U898" s="298"/>
      <c r="V898" s="304"/>
      <c r="W898" s="249"/>
      <c r="X898" s="344"/>
      <c r="Y898" s="337"/>
      <c r="Z898" s="33"/>
      <c r="AA898" s="83"/>
      <c r="AB898" s="33"/>
      <c r="AC898" s="83"/>
      <c r="AD898" s="33"/>
      <c r="AE898" s="83"/>
      <c r="AF898" s="33"/>
      <c r="AG898" s="244"/>
      <c r="AH898" s="83"/>
      <c r="AI898" s="246"/>
      <c r="AJ898" s="102"/>
      <c r="AK898" s="92"/>
      <c r="AL898" s="91"/>
      <c r="AM898" s="92"/>
      <c r="AN898" s="351"/>
      <c r="AO898" s="197">
        <f t="shared" si="55"/>
        <v>0</v>
      </c>
      <c r="AP898" s="91"/>
      <c r="AQ898" s="217"/>
      <c r="AR898" s="103"/>
      <c r="AS898" s="264"/>
      <c r="AT898" s="94"/>
      <c r="AU898" s="84"/>
      <c r="AV898" s="136"/>
      <c r="AW898" s="77"/>
      <c r="AX898" s="137"/>
      <c r="AY898" s="138"/>
      <c r="AZ898" s="220">
        <f t="shared" si="52"/>
        <v>0</v>
      </c>
      <c r="BA898" s="220">
        <f t="shared" si="53"/>
        <v>0</v>
      </c>
    </row>
    <row r="899" spans="1:53" ht="50.1" customHeight="1" x14ac:dyDescent="0.25">
      <c r="A899" s="17">
        <f t="shared" si="54"/>
        <v>885</v>
      </c>
      <c r="B899" s="228"/>
      <c r="C899" s="221"/>
      <c r="D899" s="88"/>
      <c r="E899" s="100"/>
      <c r="F899" s="95"/>
      <c r="G899" s="114"/>
      <c r="H899" s="96"/>
      <c r="I899" s="97"/>
      <c r="J899" s="98"/>
      <c r="K899" s="101"/>
      <c r="L899" s="124"/>
      <c r="M899" s="333"/>
      <c r="N899" s="341"/>
      <c r="O899" s="82"/>
      <c r="P899" s="93"/>
      <c r="Q899" s="82"/>
      <c r="R899" s="93"/>
      <c r="S899" s="298"/>
      <c r="T899" s="304"/>
      <c r="U899" s="307"/>
      <c r="V899" s="309"/>
      <c r="W899" s="248"/>
      <c r="X899" s="342"/>
      <c r="Y899" s="336"/>
      <c r="Z899" s="123"/>
      <c r="AA899" s="33"/>
      <c r="AB899" s="123"/>
      <c r="AC899" s="33"/>
      <c r="AD899" s="123"/>
      <c r="AE899" s="33"/>
      <c r="AF899" s="123"/>
      <c r="AG899" s="243"/>
      <c r="AH899" s="33"/>
      <c r="AI899" s="245"/>
      <c r="AJ899" s="125"/>
      <c r="AK899" s="91"/>
      <c r="AL899" s="126"/>
      <c r="AM899" s="91"/>
      <c r="AN899" s="91"/>
      <c r="AO899" s="197">
        <f t="shared" si="55"/>
        <v>0</v>
      </c>
      <c r="AP899" s="126"/>
      <c r="AQ899" s="216"/>
      <c r="AR899" s="127"/>
      <c r="AS899" s="269"/>
      <c r="AT899" s="94"/>
      <c r="AU899" s="84"/>
      <c r="AV899" s="80"/>
      <c r="AW899" s="81"/>
      <c r="AX899" s="77"/>
      <c r="AY899" s="107"/>
      <c r="AZ899" s="220">
        <f t="shared" si="52"/>
        <v>0</v>
      </c>
      <c r="BA899" s="220">
        <f t="shared" si="53"/>
        <v>0</v>
      </c>
    </row>
    <row r="900" spans="1:53" ht="50.1" customHeight="1" x14ac:dyDescent="0.25">
      <c r="A900" s="17">
        <f t="shared" si="54"/>
        <v>886</v>
      </c>
      <c r="B900" s="229"/>
      <c r="C900" s="222"/>
      <c r="D900" s="112"/>
      <c r="E900" s="128"/>
      <c r="F900" s="129"/>
      <c r="G900" s="130"/>
      <c r="H900" s="131"/>
      <c r="I900" s="132"/>
      <c r="J900" s="108"/>
      <c r="K900" s="133"/>
      <c r="L900" s="134"/>
      <c r="M900" s="334"/>
      <c r="N900" s="343"/>
      <c r="O900" s="135"/>
      <c r="P900" s="82"/>
      <c r="Q900" s="135"/>
      <c r="R900" s="82"/>
      <c r="S900" s="299"/>
      <c r="T900" s="305"/>
      <c r="U900" s="298"/>
      <c r="V900" s="304"/>
      <c r="W900" s="249"/>
      <c r="X900" s="344"/>
      <c r="Y900" s="337"/>
      <c r="Z900" s="33"/>
      <c r="AA900" s="83"/>
      <c r="AB900" s="33"/>
      <c r="AC900" s="83"/>
      <c r="AD900" s="33"/>
      <c r="AE900" s="83"/>
      <c r="AF900" s="33"/>
      <c r="AG900" s="244"/>
      <c r="AH900" s="83"/>
      <c r="AI900" s="246"/>
      <c r="AJ900" s="102"/>
      <c r="AK900" s="92"/>
      <c r="AL900" s="91"/>
      <c r="AM900" s="92"/>
      <c r="AN900" s="351"/>
      <c r="AO900" s="197">
        <f t="shared" si="55"/>
        <v>0</v>
      </c>
      <c r="AP900" s="91"/>
      <c r="AQ900" s="217"/>
      <c r="AR900" s="103"/>
      <c r="AS900" s="264"/>
      <c r="AT900" s="94"/>
      <c r="AU900" s="84"/>
      <c r="AV900" s="136"/>
      <c r="AW900" s="77"/>
      <c r="AX900" s="137"/>
      <c r="AY900" s="138"/>
      <c r="AZ900" s="220">
        <f t="shared" si="52"/>
        <v>0</v>
      </c>
      <c r="BA900" s="220">
        <f t="shared" si="53"/>
        <v>0</v>
      </c>
    </row>
    <row r="901" spans="1:53" ht="50.1" customHeight="1" x14ac:dyDescent="0.25">
      <c r="A901" s="17">
        <f t="shared" si="54"/>
        <v>887</v>
      </c>
      <c r="B901" s="228"/>
      <c r="C901" s="221"/>
      <c r="D901" s="88"/>
      <c r="E901" s="100"/>
      <c r="F901" s="95"/>
      <c r="G901" s="114"/>
      <c r="H901" s="96"/>
      <c r="I901" s="97"/>
      <c r="J901" s="98"/>
      <c r="K901" s="101"/>
      <c r="L901" s="124"/>
      <c r="M901" s="333"/>
      <c r="N901" s="341"/>
      <c r="O901" s="82"/>
      <c r="P901" s="93"/>
      <c r="Q901" s="82"/>
      <c r="R901" s="93"/>
      <c r="S901" s="298"/>
      <c r="T901" s="304"/>
      <c r="U901" s="307"/>
      <c r="V901" s="309"/>
      <c r="W901" s="248"/>
      <c r="X901" s="342"/>
      <c r="Y901" s="336"/>
      <c r="Z901" s="123"/>
      <c r="AA901" s="33"/>
      <c r="AB901" s="123"/>
      <c r="AC901" s="33"/>
      <c r="AD901" s="123"/>
      <c r="AE901" s="33"/>
      <c r="AF901" s="123"/>
      <c r="AG901" s="243"/>
      <c r="AH901" s="33"/>
      <c r="AI901" s="245"/>
      <c r="AJ901" s="125"/>
      <c r="AK901" s="91"/>
      <c r="AL901" s="126"/>
      <c r="AM901" s="91"/>
      <c r="AN901" s="91"/>
      <c r="AO901" s="197">
        <f t="shared" si="55"/>
        <v>0</v>
      </c>
      <c r="AP901" s="126"/>
      <c r="AQ901" s="216"/>
      <c r="AR901" s="127"/>
      <c r="AS901" s="269"/>
      <c r="AT901" s="94"/>
      <c r="AU901" s="84"/>
      <c r="AV901" s="80"/>
      <c r="AW901" s="81"/>
      <c r="AX901" s="77"/>
      <c r="AY901" s="107"/>
      <c r="AZ901" s="220">
        <f t="shared" si="52"/>
        <v>0</v>
      </c>
      <c r="BA901" s="220">
        <f t="shared" si="53"/>
        <v>0</v>
      </c>
    </row>
    <row r="902" spans="1:53" ht="50.1" customHeight="1" x14ac:dyDescent="0.25">
      <c r="A902" s="17">
        <f t="shared" si="54"/>
        <v>888</v>
      </c>
      <c r="B902" s="229"/>
      <c r="C902" s="222"/>
      <c r="D902" s="112"/>
      <c r="E902" s="128"/>
      <c r="F902" s="129"/>
      <c r="G902" s="130"/>
      <c r="H902" s="131"/>
      <c r="I902" s="132"/>
      <c r="J902" s="108"/>
      <c r="K902" s="133"/>
      <c r="L902" s="134"/>
      <c r="M902" s="334"/>
      <c r="N902" s="343"/>
      <c r="O902" s="135"/>
      <c r="P902" s="82"/>
      <c r="Q902" s="135"/>
      <c r="R902" s="82"/>
      <c r="S902" s="299"/>
      <c r="T902" s="305"/>
      <c r="U902" s="298"/>
      <c r="V902" s="304"/>
      <c r="W902" s="249"/>
      <c r="X902" s="344"/>
      <c r="Y902" s="337"/>
      <c r="Z902" s="33"/>
      <c r="AA902" s="83"/>
      <c r="AB902" s="33"/>
      <c r="AC902" s="83"/>
      <c r="AD902" s="33"/>
      <c r="AE902" s="83"/>
      <c r="AF902" s="33"/>
      <c r="AG902" s="244"/>
      <c r="AH902" s="83"/>
      <c r="AI902" s="246"/>
      <c r="AJ902" s="102"/>
      <c r="AK902" s="92"/>
      <c r="AL902" s="91"/>
      <c r="AM902" s="92"/>
      <c r="AN902" s="351"/>
      <c r="AO902" s="197">
        <f t="shared" si="55"/>
        <v>0</v>
      </c>
      <c r="AP902" s="91"/>
      <c r="AQ902" s="217"/>
      <c r="AR902" s="103"/>
      <c r="AS902" s="264"/>
      <c r="AT902" s="94"/>
      <c r="AU902" s="84"/>
      <c r="AV902" s="136"/>
      <c r="AW902" s="77"/>
      <c r="AX902" s="137"/>
      <c r="AY902" s="138"/>
      <c r="AZ902" s="220">
        <f t="shared" si="52"/>
        <v>0</v>
      </c>
      <c r="BA902" s="220">
        <f t="shared" si="53"/>
        <v>0</v>
      </c>
    </row>
    <row r="903" spans="1:53" ht="50.1" customHeight="1" x14ac:dyDescent="0.25">
      <c r="A903" s="17">
        <f t="shared" si="54"/>
        <v>889</v>
      </c>
      <c r="B903" s="228"/>
      <c r="C903" s="221"/>
      <c r="D903" s="88"/>
      <c r="E903" s="100"/>
      <c r="F903" s="95"/>
      <c r="G903" s="114"/>
      <c r="H903" s="96"/>
      <c r="I903" s="97"/>
      <c r="J903" s="98"/>
      <c r="K903" s="101"/>
      <c r="L903" s="124"/>
      <c r="M903" s="333"/>
      <c r="N903" s="341"/>
      <c r="O903" s="82"/>
      <c r="P903" s="93"/>
      <c r="Q903" s="82"/>
      <c r="R903" s="93"/>
      <c r="S903" s="298"/>
      <c r="T903" s="304"/>
      <c r="U903" s="307"/>
      <c r="V903" s="309"/>
      <c r="W903" s="248"/>
      <c r="X903" s="342"/>
      <c r="Y903" s="336"/>
      <c r="Z903" s="123"/>
      <c r="AA903" s="33"/>
      <c r="AB903" s="123"/>
      <c r="AC903" s="33"/>
      <c r="AD903" s="123"/>
      <c r="AE903" s="33"/>
      <c r="AF903" s="123"/>
      <c r="AG903" s="243"/>
      <c r="AH903" s="33"/>
      <c r="AI903" s="245"/>
      <c r="AJ903" s="125"/>
      <c r="AK903" s="91"/>
      <c r="AL903" s="126"/>
      <c r="AM903" s="91"/>
      <c r="AN903" s="91"/>
      <c r="AO903" s="197">
        <f t="shared" si="55"/>
        <v>0</v>
      </c>
      <c r="AP903" s="126"/>
      <c r="AQ903" s="216"/>
      <c r="AR903" s="127"/>
      <c r="AS903" s="269"/>
      <c r="AT903" s="94"/>
      <c r="AU903" s="84"/>
      <c r="AV903" s="80"/>
      <c r="AW903" s="81"/>
      <c r="AX903" s="77"/>
      <c r="AY903" s="107"/>
      <c r="AZ903" s="220">
        <f t="shared" si="52"/>
        <v>0</v>
      </c>
      <c r="BA903" s="220">
        <f t="shared" si="53"/>
        <v>0</v>
      </c>
    </row>
    <row r="904" spans="1:53" ht="50.1" customHeight="1" x14ac:dyDescent="0.25">
      <c r="A904" s="17">
        <f t="shared" si="54"/>
        <v>890</v>
      </c>
      <c r="B904" s="229"/>
      <c r="C904" s="222"/>
      <c r="D904" s="112"/>
      <c r="E904" s="128"/>
      <c r="F904" s="129"/>
      <c r="G904" s="130"/>
      <c r="H904" s="131"/>
      <c r="I904" s="132"/>
      <c r="J904" s="108"/>
      <c r="K904" s="133"/>
      <c r="L904" s="134"/>
      <c r="M904" s="334"/>
      <c r="N904" s="343"/>
      <c r="O904" s="135"/>
      <c r="P904" s="82"/>
      <c r="Q904" s="135"/>
      <c r="R904" s="82"/>
      <c r="S904" s="299"/>
      <c r="T904" s="305"/>
      <c r="U904" s="298"/>
      <c r="V904" s="304"/>
      <c r="W904" s="249"/>
      <c r="X904" s="344"/>
      <c r="Y904" s="337"/>
      <c r="Z904" s="33"/>
      <c r="AA904" s="83"/>
      <c r="AB904" s="33"/>
      <c r="AC904" s="83"/>
      <c r="AD904" s="33"/>
      <c r="AE904" s="83"/>
      <c r="AF904" s="33"/>
      <c r="AG904" s="244"/>
      <c r="AH904" s="83"/>
      <c r="AI904" s="246"/>
      <c r="AJ904" s="102"/>
      <c r="AK904" s="92"/>
      <c r="AL904" s="91"/>
      <c r="AM904" s="92"/>
      <c r="AN904" s="351"/>
      <c r="AO904" s="197">
        <f t="shared" si="55"/>
        <v>0</v>
      </c>
      <c r="AP904" s="91"/>
      <c r="AQ904" s="217"/>
      <c r="AR904" s="103"/>
      <c r="AS904" s="264"/>
      <c r="AT904" s="94"/>
      <c r="AU904" s="84"/>
      <c r="AV904" s="136"/>
      <c r="AW904" s="77"/>
      <c r="AX904" s="137"/>
      <c r="AY904" s="138"/>
      <c r="AZ904" s="220">
        <f t="shared" si="52"/>
        <v>0</v>
      </c>
      <c r="BA904" s="220">
        <f t="shared" si="53"/>
        <v>0</v>
      </c>
    </row>
    <row r="905" spans="1:53" ht="50.1" customHeight="1" x14ac:dyDescent="0.25">
      <c r="A905" s="17">
        <f t="shared" si="54"/>
        <v>891</v>
      </c>
      <c r="B905" s="228"/>
      <c r="C905" s="221"/>
      <c r="D905" s="88"/>
      <c r="E905" s="100"/>
      <c r="F905" s="95"/>
      <c r="G905" s="114"/>
      <c r="H905" s="96"/>
      <c r="I905" s="97"/>
      <c r="J905" s="98"/>
      <c r="K905" s="101"/>
      <c r="L905" s="124"/>
      <c r="M905" s="333"/>
      <c r="N905" s="346"/>
      <c r="O905" s="82"/>
      <c r="P905" s="93"/>
      <c r="Q905" s="82"/>
      <c r="R905" s="93"/>
      <c r="S905" s="298"/>
      <c r="T905" s="304"/>
      <c r="U905" s="307"/>
      <c r="V905" s="309"/>
      <c r="W905" s="248"/>
      <c r="X905" s="342"/>
      <c r="Y905" s="336"/>
      <c r="Z905" s="123"/>
      <c r="AA905" s="33"/>
      <c r="AB905" s="123"/>
      <c r="AC905" s="33"/>
      <c r="AD905" s="123"/>
      <c r="AE905" s="33"/>
      <c r="AF905" s="123"/>
      <c r="AG905" s="243"/>
      <c r="AH905" s="33"/>
      <c r="AI905" s="245"/>
      <c r="AJ905" s="125"/>
      <c r="AK905" s="91"/>
      <c r="AL905" s="126"/>
      <c r="AM905" s="91"/>
      <c r="AN905" s="91"/>
      <c r="AO905" s="197">
        <f t="shared" si="55"/>
        <v>0</v>
      </c>
      <c r="AP905" s="126"/>
      <c r="AQ905" s="216"/>
      <c r="AR905" s="127"/>
      <c r="AS905" s="269"/>
      <c r="AT905" s="94"/>
      <c r="AU905" s="84"/>
      <c r="AV905" s="80"/>
      <c r="AW905" s="81"/>
      <c r="AX905" s="77"/>
      <c r="AY905" s="107"/>
      <c r="AZ905" s="220">
        <f t="shared" si="52"/>
        <v>0</v>
      </c>
      <c r="BA905" s="220">
        <f t="shared" si="53"/>
        <v>0</v>
      </c>
    </row>
    <row r="906" spans="1:53" ht="50.1" customHeight="1" x14ac:dyDescent="0.25">
      <c r="A906" s="17">
        <f t="shared" si="54"/>
        <v>892</v>
      </c>
      <c r="B906" s="229"/>
      <c r="C906" s="222"/>
      <c r="D906" s="112"/>
      <c r="E906" s="128"/>
      <c r="F906" s="129"/>
      <c r="G906" s="130"/>
      <c r="H906" s="131"/>
      <c r="I906" s="132"/>
      <c r="J906" s="108"/>
      <c r="K906" s="133"/>
      <c r="L906" s="134"/>
      <c r="M906" s="334"/>
      <c r="N906" s="343"/>
      <c r="O906" s="135"/>
      <c r="P906" s="82"/>
      <c r="Q906" s="135"/>
      <c r="R906" s="82"/>
      <c r="S906" s="299"/>
      <c r="T906" s="305"/>
      <c r="U906" s="298"/>
      <c r="V906" s="304"/>
      <c r="W906" s="249"/>
      <c r="X906" s="344"/>
      <c r="Y906" s="337"/>
      <c r="Z906" s="33"/>
      <c r="AA906" s="83"/>
      <c r="AB906" s="33"/>
      <c r="AC906" s="83"/>
      <c r="AD906" s="33"/>
      <c r="AE906" s="83"/>
      <c r="AF906" s="33"/>
      <c r="AG906" s="244"/>
      <c r="AH906" s="83"/>
      <c r="AI906" s="246"/>
      <c r="AJ906" s="102"/>
      <c r="AK906" s="92"/>
      <c r="AL906" s="91"/>
      <c r="AM906" s="92"/>
      <c r="AN906" s="351"/>
      <c r="AO906" s="197">
        <f t="shared" si="55"/>
        <v>0</v>
      </c>
      <c r="AP906" s="91"/>
      <c r="AQ906" s="217"/>
      <c r="AR906" s="103"/>
      <c r="AS906" s="264"/>
      <c r="AT906" s="94"/>
      <c r="AU906" s="84"/>
      <c r="AV906" s="136"/>
      <c r="AW906" s="77"/>
      <c r="AX906" s="137"/>
      <c r="AY906" s="138"/>
      <c r="AZ906" s="220">
        <f t="shared" si="52"/>
        <v>0</v>
      </c>
      <c r="BA906" s="220">
        <f t="shared" si="53"/>
        <v>0</v>
      </c>
    </row>
    <row r="907" spans="1:53" ht="50.1" customHeight="1" x14ac:dyDescent="0.25">
      <c r="A907" s="17">
        <f t="shared" si="54"/>
        <v>893</v>
      </c>
      <c r="B907" s="228"/>
      <c r="C907" s="221"/>
      <c r="D907" s="88"/>
      <c r="E907" s="100"/>
      <c r="F907" s="95"/>
      <c r="G907" s="114"/>
      <c r="H907" s="96"/>
      <c r="I907" s="97"/>
      <c r="J907" s="98"/>
      <c r="K907" s="101"/>
      <c r="L907" s="124"/>
      <c r="M907" s="333"/>
      <c r="N907" s="341"/>
      <c r="O907" s="82"/>
      <c r="P907" s="93"/>
      <c r="Q907" s="82"/>
      <c r="R907" s="93"/>
      <c r="S907" s="298"/>
      <c r="T907" s="304"/>
      <c r="U907" s="307"/>
      <c r="V907" s="309"/>
      <c r="W907" s="248"/>
      <c r="X907" s="342"/>
      <c r="Y907" s="336"/>
      <c r="Z907" s="123"/>
      <c r="AA907" s="33"/>
      <c r="AB907" s="123"/>
      <c r="AC907" s="33"/>
      <c r="AD907" s="123"/>
      <c r="AE907" s="33"/>
      <c r="AF907" s="123"/>
      <c r="AG907" s="243"/>
      <c r="AH907" s="33"/>
      <c r="AI907" s="245"/>
      <c r="AJ907" s="125"/>
      <c r="AK907" s="91"/>
      <c r="AL907" s="126"/>
      <c r="AM907" s="91"/>
      <c r="AN907" s="91"/>
      <c r="AO907" s="197">
        <f t="shared" si="55"/>
        <v>0</v>
      </c>
      <c r="AP907" s="126"/>
      <c r="AQ907" s="216"/>
      <c r="AR907" s="127"/>
      <c r="AS907" s="269"/>
      <c r="AT907" s="94"/>
      <c r="AU907" s="84"/>
      <c r="AV907" s="80"/>
      <c r="AW907" s="81"/>
      <c r="AX907" s="77"/>
      <c r="AY907" s="107"/>
      <c r="AZ907" s="220">
        <f t="shared" si="52"/>
        <v>0</v>
      </c>
      <c r="BA907" s="220">
        <f t="shared" si="53"/>
        <v>0</v>
      </c>
    </row>
    <row r="908" spans="1:53" ht="50.1" customHeight="1" x14ac:dyDescent="0.25">
      <c r="A908" s="17">
        <f t="shared" si="54"/>
        <v>894</v>
      </c>
      <c r="B908" s="229"/>
      <c r="C908" s="222"/>
      <c r="D908" s="112"/>
      <c r="E908" s="128"/>
      <c r="F908" s="129"/>
      <c r="G908" s="130"/>
      <c r="H908" s="131"/>
      <c r="I908" s="132"/>
      <c r="J908" s="108"/>
      <c r="K908" s="133"/>
      <c r="L908" s="134"/>
      <c r="M908" s="334"/>
      <c r="N908" s="343"/>
      <c r="O908" s="135"/>
      <c r="P908" s="82"/>
      <c r="Q908" s="135"/>
      <c r="R908" s="82"/>
      <c r="S908" s="299"/>
      <c r="T908" s="305"/>
      <c r="U908" s="298"/>
      <c r="V908" s="304"/>
      <c r="W908" s="249"/>
      <c r="X908" s="344"/>
      <c r="Y908" s="337"/>
      <c r="Z908" s="33"/>
      <c r="AA908" s="83"/>
      <c r="AB908" s="33"/>
      <c r="AC908" s="83"/>
      <c r="AD908" s="33"/>
      <c r="AE908" s="83"/>
      <c r="AF908" s="33"/>
      <c r="AG908" s="244"/>
      <c r="AH908" s="83"/>
      <c r="AI908" s="246"/>
      <c r="AJ908" s="102"/>
      <c r="AK908" s="92"/>
      <c r="AL908" s="91"/>
      <c r="AM908" s="92"/>
      <c r="AN908" s="351"/>
      <c r="AO908" s="197">
        <f t="shared" si="55"/>
        <v>0</v>
      </c>
      <c r="AP908" s="91"/>
      <c r="AQ908" s="217"/>
      <c r="AR908" s="103"/>
      <c r="AS908" s="264"/>
      <c r="AT908" s="94"/>
      <c r="AU908" s="84"/>
      <c r="AV908" s="136"/>
      <c r="AW908" s="77"/>
      <c r="AX908" s="137"/>
      <c r="AY908" s="138"/>
      <c r="AZ908" s="220">
        <f t="shared" si="52"/>
        <v>0</v>
      </c>
      <c r="BA908" s="220">
        <f t="shared" si="53"/>
        <v>0</v>
      </c>
    </row>
    <row r="909" spans="1:53" ht="50.1" customHeight="1" x14ac:dyDescent="0.25">
      <c r="A909" s="17">
        <f t="shared" si="54"/>
        <v>895</v>
      </c>
      <c r="B909" s="228"/>
      <c r="C909" s="221"/>
      <c r="D909" s="88"/>
      <c r="E909" s="100"/>
      <c r="F909" s="95"/>
      <c r="G909" s="114"/>
      <c r="H909" s="96"/>
      <c r="I909" s="97"/>
      <c r="J909" s="98"/>
      <c r="K909" s="101"/>
      <c r="L909" s="124"/>
      <c r="M909" s="333"/>
      <c r="N909" s="341"/>
      <c r="O909" s="82"/>
      <c r="P909" s="93"/>
      <c r="Q909" s="82"/>
      <c r="R909" s="93"/>
      <c r="S909" s="298"/>
      <c r="T909" s="304"/>
      <c r="U909" s="307"/>
      <c r="V909" s="309"/>
      <c r="W909" s="248"/>
      <c r="X909" s="342"/>
      <c r="Y909" s="336"/>
      <c r="Z909" s="123"/>
      <c r="AA909" s="33"/>
      <c r="AB909" s="123"/>
      <c r="AC909" s="33"/>
      <c r="AD909" s="123"/>
      <c r="AE909" s="33"/>
      <c r="AF909" s="123"/>
      <c r="AG909" s="243"/>
      <c r="AH909" s="33"/>
      <c r="AI909" s="245"/>
      <c r="AJ909" s="125"/>
      <c r="AK909" s="91"/>
      <c r="AL909" s="126"/>
      <c r="AM909" s="91"/>
      <c r="AN909" s="91"/>
      <c r="AO909" s="197">
        <f t="shared" si="55"/>
        <v>0</v>
      </c>
      <c r="AP909" s="126"/>
      <c r="AQ909" s="216"/>
      <c r="AR909" s="127"/>
      <c r="AS909" s="269"/>
      <c r="AT909" s="94"/>
      <c r="AU909" s="84"/>
      <c r="AV909" s="80"/>
      <c r="AW909" s="81"/>
      <c r="AX909" s="77"/>
      <c r="AY909" s="107"/>
      <c r="AZ909" s="220">
        <f t="shared" si="52"/>
        <v>0</v>
      </c>
      <c r="BA909" s="220">
        <f t="shared" si="53"/>
        <v>0</v>
      </c>
    </row>
    <row r="910" spans="1:53" ht="50.1" customHeight="1" x14ac:dyDescent="0.25">
      <c r="A910" s="17">
        <f t="shared" si="54"/>
        <v>896</v>
      </c>
      <c r="B910" s="229"/>
      <c r="C910" s="222"/>
      <c r="D910" s="112"/>
      <c r="E910" s="128"/>
      <c r="F910" s="129"/>
      <c r="G910" s="130"/>
      <c r="H910" s="131"/>
      <c r="I910" s="132"/>
      <c r="J910" s="108"/>
      <c r="K910" s="133"/>
      <c r="L910" s="134"/>
      <c r="M910" s="334"/>
      <c r="N910" s="343"/>
      <c r="O910" s="135"/>
      <c r="P910" s="82"/>
      <c r="Q910" s="135"/>
      <c r="R910" s="82"/>
      <c r="S910" s="299"/>
      <c r="T910" s="305"/>
      <c r="U910" s="298"/>
      <c r="V910" s="304"/>
      <c r="W910" s="249"/>
      <c r="X910" s="344"/>
      <c r="Y910" s="337"/>
      <c r="Z910" s="33"/>
      <c r="AA910" s="83"/>
      <c r="AB910" s="33"/>
      <c r="AC910" s="83"/>
      <c r="AD910" s="33"/>
      <c r="AE910" s="83"/>
      <c r="AF910" s="33"/>
      <c r="AG910" s="244"/>
      <c r="AH910" s="83"/>
      <c r="AI910" s="246"/>
      <c r="AJ910" s="102"/>
      <c r="AK910" s="92"/>
      <c r="AL910" s="91"/>
      <c r="AM910" s="92"/>
      <c r="AN910" s="351"/>
      <c r="AO910" s="197">
        <f t="shared" si="55"/>
        <v>0</v>
      </c>
      <c r="AP910" s="91"/>
      <c r="AQ910" s="217"/>
      <c r="AR910" s="103"/>
      <c r="AS910" s="264"/>
      <c r="AT910" s="94"/>
      <c r="AU910" s="84"/>
      <c r="AV910" s="136"/>
      <c r="AW910" s="77"/>
      <c r="AX910" s="137"/>
      <c r="AY910" s="138"/>
      <c r="AZ910" s="220">
        <f t="shared" si="52"/>
        <v>0</v>
      </c>
      <c r="BA910" s="220">
        <f t="shared" si="53"/>
        <v>0</v>
      </c>
    </row>
    <row r="911" spans="1:53" ht="50.1" customHeight="1" x14ac:dyDescent="0.25">
      <c r="A911" s="17">
        <f t="shared" si="54"/>
        <v>897</v>
      </c>
      <c r="B911" s="228"/>
      <c r="C911" s="221"/>
      <c r="D911" s="88"/>
      <c r="E911" s="100"/>
      <c r="F911" s="95"/>
      <c r="G911" s="114"/>
      <c r="H911" s="96"/>
      <c r="I911" s="97"/>
      <c r="J911" s="98"/>
      <c r="K911" s="101"/>
      <c r="L911" s="124"/>
      <c r="M911" s="333"/>
      <c r="N911" s="341"/>
      <c r="O911" s="82"/>
      <c r="P911" s="93"/>
      <c r="Q911" s="82"/>
      <c r="R911" s="93"/>
      <c r="S911" s="298"/>
      <c r="T911" s="304"/>
      <c r="U911" s="307"/>
      <c r="V911" s="309"/>
      <c r="W911" s="248"/>
      <c r="X911" s="342"/>
      <c r="Y911" s="336"/>
      <c r="Z911" s="123"/>
      <c r="AA911" s="33"/>
      <c r="AB911" s="123"/>
      <c r="AC911" s="33"/>
      <c r="AD911" s="123"/>
      <c r="AE911" s="33"/>
      <c r="AF911" s="123"/>
      <c r="AG911" s="243"/>
      <c r="AH911" s="33"/>
      <c r="AI911" s="245"/>
      <c r="AJ911" s="125"/>
      <c r="AK911" s="91"/>
      <c r="AL911" s="126"/>
      <c r="AM911" s="91"/>
      <c r="AN911" s="91"/>
      <c r="AO911" s="197">
        <f t="shared" si="55"/>
        <v>0</v>
      </c>
      <c r="AP911" s="126"/>
      <c r="AQ911" s="216"/>
      <c r="AR911" s="127"/>
      <c r="AS911" s="269"/>
      <c r="AT911" s="94"/>
      <c r="AU911" s="84"/>
      <c r="AV911" s="80"/>
      <c r="AW911" s="81"/>
      <c r="AX911" s="77"/>
      <c r="AY911" s="107"/>
      <c r="AZ911" s="220">
        <f t="shared" ref="AZ911:AZ974" si="56">M911-B911</f>
        <v>0</v>
      </c>
      <c r="BA911" s="220">
        <f t="shared" ref="BA911:BA974" si="57">AU911-M911</f>
        <v>0</v>
      </c>
    </row>
    <row r="912" spans="1:53" ht="50.1" customHeight="1" x14ac:dyDescent="0.25">
      <c r="A912" s="17">
        <f t="shared" ref="A912:A975" si="58">ROW(A898)</f>
        <v>898</v>
      </c>
      <c r="B912" s="229"/>
      <c r="C912" s="222"/>
      <c r="D912" s="112"/>
      <c r="E912" s="128"/>
      <c r="F912" s="129"/>
      <c r="G912" s="130"/>
      <c r="H912" s="131"/>
      <c r="I912" s="132"/>
      <c r="J912" s="108"/>
      <c r="K912" s="133"/>
      <c r="L912" s="134"/>
      <c r="M912" s="334"/>
      <c r="N912" s="343"/>
      <c r="O912" s="135"/>
      <c r="P912" s="82"/>
      <c r="Q912" s="135"/>
      <c r="R912" s="82"/>
      <c r="S912" s="299"/>
      <c r="T912" s="305"/>
      <c r="U912" s="298"/>
      <c r="V912" s="304"/>
      <c r="W912" s="249"/>
      <c r="X912" s="344"/>
      <c r="Y912" s="337"/>
      <c r="Z912" s="33"/>
      <c r="AA912" s="83"/>
      <c r="AB912" s="33"/>
      <c r="AC912" s="83"/>
      <c r="AD912" s="33"/>
      <c r="AE912" s="83"/>
      <c r="AF912" s="33"/>
      <c r="AG912" s="244"/>
      <c r="AH912" s="83"/>
      <c r="AI912" s="246"/>
      <c r="AJ912" s="102"/>
      <c r="AK912" s="92"/>
      <c r="AL912" s="91"/>
      <c r="AM912" s="92"/>
      <c r="AN912" s="351"/>
      <c r="AO912" s="197">
        <f t="shared" ref="AO912:AO975" si="59">AJ912-AK912-AL912-AM912-AN912</f>
        <v>0</v>
      </c>
      <c r="AP912" s="91"/>
      <c r="AQ912" s="217"/>
      <c r="AR912" s="103"/>
      <c r="AS912" s="264"/>
      <c r="AT912" s="94"/>
      <c r="AU912" s="84"/>
      <c r="AV912" s="136"/>
      <c r="AW912" s="77"/>
      <c r="AX912" s="137"/>
      <c r="AY912" s="138"/>
      <c r="AZ912" s="220">
        <f t="shared" si="56"/>
        <v>0</v>
      </c>
      <c r="BA912" s="220">
        <f t="shared" si="57"/>
        <v>0</v>
      </c>
    </row>
    <row r="913" spans="1:53" ht="50.1" customHeight="1" x14ac:dyDescent="0.25">
      <c r="A913" s="17">
        <f t="shared" si="58"/>
        <v>899</v>
      </c>
      <c r="B913" s="228"/>
      <c r="C913" s="221"/>
      <c r="D913" s="88"/>
      <c r="E913" s="100"/>
      <c r="F913" s="95"/>
      <c r="G913" s="114"/>
      <c r="H913" s="96"/>
      <c r="I913" s="97"/>
      <c r="J913" s="98"/>
      <c r="K913" s="101"/>
      <c r="L913" s="124"/>
      <c r="M913" s="333"/>
      <c r="N913" s="341"/>
      <c r="O913" s="82"/>
      <c r="P913" s="93"/>
      <c r="Q913" s="82"/>
      <c r="R913" s="93"/>
      <c r="S913" s="298"/>
      <c r="T913" s="304"/>
      <c r="U913" s="307"/>
      <c r="V913" s="309"/>
      <c r="W913" s="248"/>
      <c r="X913" s="342"/>
      <c r="Y913" s="336"/>
      <c r="Z913" s="123"/>
      <c r="AA913" s="33"/>
      <c r="AB913" s="123"/>
      <c r="AC913" s="33"/>
      <c r="AD913" s="123"/>
      <c r="AE913" s="33"/>
      <c r="AF913" s="123"/>
      <c r="AG913" s="243"/>
      <c r="AH913" s="33"/>
      <c r="AI913" s="245"/>
      <c r="AJ913" s="125"/>
      <c r="AK913" s="91"/>
      <c r="AL913" s="126"/>
      <c r="AM913" s="91"/>
      <c r="AN913" s="91"/>
      <c r="AO913" s="197">
        <f t="shared" si="59"/>
        <v>0</v>
      </c>
      <c r="AP913" s="126"/>
      <c r="AQ913" s="216"/>
      <c r="AR913" s="127"/>
      <c r="AS913" s="269"/>
      <c r="AT913" s="94"/>
      <c r="AU913" s="84"/>
      <c r="AV913" s="80"/>
      <c r="AW913" s="81"/>
      <c r="AX913" s="77"/>
      <c r="AY913" s="107"/>
      <c r="AZ913" s="220">
        <f t="shared" si="56"/>
        <v>0</v>
      </c>
      <c r="BA913" s="220">
        <f t="shared" si="57"/>
        <v>0</v>
      </c>
    </row>
    <row r="914" spans="1:53" ht="50.1" customHeight="1" x14ac:dyDescent="0.25">
      <c r="A914" s="17">
        <f t="shared" si="58"/>
        <v>900</v>
      </c>
      <c r="B914" s="229"/>
      <c r="C914" s="222"/>
      <c r="D914" s="112"/>
      <c r="E914" s="128"/>
      <c r="F914" s="129"/>
      <c r="G914" s="130"/>
      <c r="H914" s="131"/>
      <c r="I914" s="132"/>
      <c r="J914" s="108"/>
      <c r="K914" s="133"/>
      <c r="L914" s="134"/>
      <c r="M914" s="334"/>
      <c r="N914" s="343"/>
      <c r="O914" s="135"/>
      <c r="P914" s="82"/>
      <c r="Q914" s="135"/>
      <c r="R914" s="82"/>
      <c r="S914" s="299"/>
      <c r="T914" s="305"/>
      <c r="U914" s="298"/>
      <c r="V914" s="304"/>
      <c r="W914" s="249"/>
      <c r="X914" s="344"/>
      <c r="Y914" s="337"/>
      <c r="Z914" s="33"/>
      <c r="AA914" s="83"/>
      <c r="AB914" s="33"/>
      <c r="AC914" s="83"/>
      <c r="AD914" s="33"/>
      <c r="AE914" s="83"/>
      <c r="AF914" s="33"/>
      <c r="AG914" s="244"/>
      <c r="AH914" s="83"/>
      <c r="AI914" s="246"/>
      <c r="AJ914" s="102"/>
      <c r="AK914" s="92"/>
      <c r="AL914" s="91"/>
      <c r="AM914" s="92"/>
      <c r="AN914" s="351"/>
      <c r="AO914" s="197">
        <f t="shared" si="59"/>
        <v>0</v>
      </c>
      <c r="AP914" s="91"/>
      <c r="AQ914" s="217"/>
      <c r="AR914" s="103"/>
      <c r="AS914" s="264"/>
      <c r="AT914" s="94"/>
      <c r="AU914" s="84"/>
      <c r="AV914" s="136"/>
      <c r="AW914" s="77"/>
      <c r="AX914" s="137"/>
      <c r="AY914" s="138"/>
      <c r="AZ914" s="220">
        <f t="shared" si="56"/>
        <v>0</v>
      </c>
      <c r="BA914" s="220">
        <f t="shared" si="57"/>
        <v>0</v>
      </c>
    </row>
    <row r="915" spans="1:53" ht="50.1" customHeight="1" x14ac:dyDescent="0.25">
      <c r="A915" s="17">
        <f t="shared" si="58"/>
        <v>901</v>
      </c>
      <c r="B915" s="228"/>
      <c r="C915" s="221"/>
      <c r="D915" s="88"/>
      <c r="E915" s="100"/>
      <c r="F915" s="95"/>
      <c r="G915" s="114"/>
      <c r="H915" s="96"/>
      <c r="I915" s="97"/>
      <c r="J915" s="98"/>
      <c r="K915" s="101"/>
      <c r="L915" s="124"/>
      <c r="M915" s="333"/>
      <c r="N915" s="341"/>
      <c r="O915" s="82"/>
      <c r="P915" s="93"/>
      <c r="Q915" s="82"/>
      <c r="R915" s="93"/>
      <c r="S915" s="298"/>
      <c r="T915" s="304"/>
      <c r="U915" s="307"/>
      <c r="V915" s="309"/>
      <c r="W915" s="248"/>
      <c r="X915" s="342"/>
      <c r="Y915" s="336"/>
      <c r="Z915" s="123"/>
      <c r="AA915" s="33"/>
      <c r="AB915" s="123"/>
      <c r="AC915" s="33"/>
      <c r="AD915" s="123"/>
      <c r="AE915" s="33"/>
      <c r="AF915" s="123"/>
      <c r="AG915" s="243"/>
      <c r="AH915" s="33"/>
      <c r="AI915" s="245"/>
      <c r="AJ915" s="125"/>
      <c r="AK915" s="91"/>
      <c r="AL915" s="126"/>
      <c r="AM915" s="91"/>
      <c r="AN915" s="91"/>
      <c r="AO915" s="197">
        <f t="shared" si="59"/>
        <v>0</v>
      </c>
      <c r="AP915" s="126"/>
      <c r="AQ915" s="216"/>
      <c r="AR915" s="127"/>
      <c r="AS915" s="269"/>
      <c r="AT915" s="94"/>
      <c r="AU915" s="84"/>
      <c r="AV915" s="80"/>
      <c r="AW915" s="81"/>
      <c r="AX915" s="77"/>
      <c r="AY915" s="107"/>
      <c r="AZ915" s="220">
        <f t="shared" si="56"/>
        <v>0</v>
      </c>
      <c r="BA915" s="220">
        <f t="shared" si="57"/>
        <v>0</v>
      </c>
    </row>
    <row r="916" spans="1:53" ht="50.1" customHeight="1" x14ac:dyDescent="0.25">
      <c r="A916" s="17">
        <f t="shared" si="58"/>
        <v>902</v>
      </c>
      <c r="B916" s="229"/>
      <c r="C916" s="222"/>
      <c r="D916" s="112"/>
      <c r="E916" s="128"/>
      <c r="F916" s="129"/>
      <c r="G916" s="130"/>
      <c r="H916" s="131"/>
      <c r="I916" s="132"/>
      <c r="J916" s="108"/>
      <c r="K916" s="133"/>
      <c r="L916" s="134"/>
      <c r="M916" s="334"/>
      <c r="N916" s="343"/>
      <c r="O916" s="135"/>
      <c r="P916" s="82"/>
      <c r="Q916" s="135"/>
      <c r="R916" s="82"/>
      <c r="S916" s="299"/>
      <c r="T916" s="305"/>
      <c r="U916" s="298"/>
      <c r="V916" s="304"/>
      <c r="W916" s="249"/>
      <c r="X916" s="344"/>
      <c r="Y916" s="337"/>
      <c r="Z916" s="33"/>
      <c r="AA916" s="83"/>
      <c r="AB916" s="33"/>
      <c r="AC916" s="83"/>
      <c r="AD916" s="33"/>
      <c r="AE916" s="83"/>
      <c r="AF916" s="33"/>
      <c r="AG916" s="244"/>
      <c r="AH916" s="83"/>
      <c r="AI916" s="246"/>
      <c r="AJ916" s="102"/>
      <c r="AK916" s="92"/>
      <c r="AL916" s="91"/>
      <c r="AM916" s="92"/>
      <c r="AN916" s="351"/>
      <c r="AO916" s="197">
        <f t="shared" si="59"/>
        <v>0</v>
      </c>
      <c r="AP916" s="91"/>
      <c r="AQ916" s="217"/>
      <c r="AR916" s="103"/>
      <c r="AS916" s="264"/>
      <c r="AT916" s="94"/>
      <c r="AU916" s="84"/>
      <c r="AV916" s="136"/>
      <c r="AW916" s="77"/>
      <c r="AX916" s="137"/>
      <c r="AY916" s="138"/>
      <c r="AZ916" s="220">
        <f t="shared" si="56"/>
        <v>0</v>
      </c>
      <c r="BA916" s="220">
        <f t="shared" si="57"/>
        <v>0</v>
      </c>
    </row>
    <row r="917" spans="1:53" ht="50.1" customHeight="1" x14ac:dyDescent="0.25">
      <c r="A917" s="17">
        <f t="shared" si="58"/>
        <v>903</v>
      </c>
      <c r="B917" s="228"/>
      <c r="C917" s="221"/>
      <c r="D917" s="88"/>
      <c r="E917" s="100"/>
      <c r="F917" s="95"/>
      <c r="G917" s="114"/>
      <c r="H917" s="96"/>
      <c r="I917" s="97"/>
      <c r="J917" s="98"/>
      <c r="K917" s="101"/>
      <c r="L917" s="124"/>
      <c r="M917" s="333"/>
      <c r="N917" s="341"/>
      <c r="O917" s="82"/>
      <c r="P917" s="93"/>
      <c r="Q917" s="82"/>
      <c r="R917" s="93"/>
      <c r="S917" s="298"/>
      <c r="T917" s="304"/>
      <c r="U917" s="307"/>
      <c r="V917" s="309"/>
      <c r="W917" s="248"/>
      <c r="X917" s="342"/>
      <c r="Y917" s="336"/>
      <c r="Z917" s="123"/>
      <c r="AA917" s="33"/>
      <c r="AB917" s="123"/>
      <c r="AC917" s="33"/>
      <c r="AD917" s="123"/>
      <c r="AE917" s="33"/>
      <c r="AF917" s="123"/>
      <c r="AG917" s="243"/>
      <c r="AH917" s="33"/>
      <c r="AI917" s="245"/>
      <c r="AJ917" s="125"/>
      <c r="AK917" s="91"/>
      <c r="AL917" s="126"/>
      <c r="AM917" s="91"/>
      <c r="AN917" s="91"/>
      <c r="AO917" s="197">
        <f t="shared" si="59"/>
        <v>0</v>
      </c>
      <c r="AP917" s="126"/>
      <c r="AQ917" s="216"/>
      <c r="AR917" s="127"/>
      <c r="AS917" s="269"/>
      <c r="AT917" s="94"/>
      <c r="AU917" s="84"/>
      <c r="AV917" s="80"/>
      <c r="AW917" s="81"/>
      <c r="AX917" s="77"/>
      <c r="AY917" s="107"/>
      <c r="AZ917" s="220">
        <f t="shared" si="56"/>
        <v>0</v>
      </c>
      <c r="BA917" s="220">
        <f t="shared" si="57"/>
        <v>0</v>
      </c>
    </row>
    <row r="918" spans="1:53" ht="50.1" customHeight="1" x14ac:dyDescent="0.25">
      <c r="A918" s="17">
        <f t="shared" si="58"/>
        <v>904</v>
      </c>
      <c r="B918" s="229"/>
      <c r="C918" s="222"/>
      <c r="D918" s="112"/>
      <c r="E918" s="128"/>
      <c r="F918" s="129"/>
      <c r="G918" s="130"/>
      <c r="H918" s="131"/>
      <c r="I918" s="132"/>
      <c r="J918" s="108"/>
      <c r="K918" s="133"/>
      <c r="L918" s="134"/>
      <c r="M918" s="334"/>
      <c r="N918" s="343"/>
      <c r="O918" s="135"/>
      <c r="P918" s="82"/>
      <c r="Q918" s="135"/>
      <c r="R918" s="82"/>
      <c r="S918" s="299"/>
      <c r="T918" s="305"/>
      <c r="U918" s="298"/>
      <c r="V918" s="304"/>
      <c r="W918" s="249"/>
      <c r="X918" s="344"/>
      <c r="Y918" s="337"/>
      <c r="Z918" s="33"/>
      <c r="AA918" s="83"/>
      <c r="AB918" s="33"/>
      <c r="AC918" s="83"/>
      <c r="AD918" s="33"/>
      <c r="AE918" s="83"/>
      <c r="AF918" s="33"/>
      <c r="AG918" s="244"/>
      <c r="AH918" s="83"/>
      <c r="AI918" s="246"/>
      <c r="AJ918" s="102"/>
      <c r="AK918" s="92"/>
      <c r="AL918" s="91"/>
      <c r="AM918" s="92"/>
      <c r="AN918" s="351"/>
      <c r="AO918" s="197">
        <f t="shared" si="59"/>
        <v>0</v>
      </c>
      <c r="AP918" s="91"/>
      <c r="AQ918" s="217"/>
      <c r="AR918" s="103"/>
      <c r="AS918" s="264"/>
      <c r="AT918" s="94"/>
      <c r="AU918" s="84"/>
      <c r="AV918" s="136"/>
      <c r="AW918" s="77"/>
      <c r="AX918" s="137"/>
      <c r="AY918" s="138"/>
      <c r="AZ918" s="220">
        <f t="shared" si="56"/>
        <v>0</v>
      </c>
      <c r="BA918" s="220">
        <f t="shared" si="57"/>
        <v>0</v>
      </c>
    </row>
    <row r="919" spans="1:53" ht="50.1" customHeight="1" x14ac:dyDescent="0.25">
      <c r="A919" s="17">
        <f t="shared" si="58"/>
        <v>905</v>
      </c>
      <c r="B919" s="228"/>
      <c r="C919" s="221"/>
      <c r="D919" s="88"/>
      <c r="E919" s="100"/>
      <c r="F919" s="95"/>
      <c r="G919" s="114"/>
      <c r="H919" s="96"/>
      <c r="I919" s="97"/>
      <c r="J919" s="98"/>
      <c r="K919" s="101"/>
      <c r="L919" s="124"/>
      <c r="M919" s="333"/>
      <c r="N919" s="341"/>
      <c r="O919" s="82"/>
      <c r="P919" s="93"/>
      <c r="Q919" s="82"/>
      <c r="R919" s="93"/>
      <c r="S919" s="298"/>
      <c r="T919" s="304"/>
      <c r="U919" s="307"/>
      <c r="V919" s="309"/>
      <c r="W919" s="248"/>
      <c r="X919" s="342"/>
      <c r="Y919" s="336"/>
      <c r="Z919" s="123"/>
      <c r="AA919" s="33"/>
      <c r="AB919" s="123"/>
      <c r="AC919" s="33"/>
      <c r="AD919" s="123"/>
      <c r="AE919" s="33"/>
      <c r="AF919" s="123"/>
      <c r="AG919" s="243"/>
      <c r="AH919" s="33"/>
      <c r="AI919" s="245"/>
      <c r="AJ919" s="125"/>
      <c r="AK919" s="91"/>
      <c r="AL919" s="126"/>
      <c r="AM919" s="91"/>
      <c r="AN919" s="91"/>
      <c r="AO919" s="197">
        <f t="shared" si="59"/>
        <v>0</v>
      </c>
      <c r="AP919" s="126"/>
      <c r="AQ919" s="216"/>
      <c r="AR919" s="127"/>
      <c r="AS919" s="269"/>
      <c r="AT919" s="94"/>
      <c r="AU919" s="84"/>
      <c r="AV919" s="80"/>
      <c r="AW919" s="81"/>
      <c r="AX919" s="77"/>
      <c r="AY919" s="107"/>
      <c r="AZ919" s="220">
        <f t="shared" si="56"/>
        <v>0</v>
      </c>
      <c r="BA919" s="220">
        <f t="shared" si="57"/>
        <v>0</v>
      </c>
    </row>
    <row r="920" spans="1:53" ht="50.1" customHeight="1" x14ac:dyDescent="0.25">
      <c r="A920" s="17">
        <f t="shared" si="58"/>
        <v>906</v>
      </c>
      <c r="B920" s="229"/>
      <c r="C920" s="222"/>
      <c r="D920" s="112"/>
      <c r="E920" s="128"/>
      <c r="F920" s="129"/>
      <c r="G920" s="130"/>
      <c r="H920" s="131"/>
      <c r="I920" s="132"/>
      <c r="J920" s="108"/>
      <c r="K920" s="133"/>
      <c r="L920" s="134"/>
      <c r="M920" s="334"/>
      <c r="N920" s="343"/>
      <c r="O920" s="135"/>
      <c r="P920" s="82"/>
      <c r="Q920" s="135"/>
      <c r="R920" s="82"/>
      <c r="S920" s="299"/>
      <c r="T920" s="305"/>
      <c r="U920" s="298"/>
      <c r="V920" s="304"/>
      <c r="W920" s="249"/>
      <c r="X920" s="344"/>
      <c r="Y920" s="337"/>
      <c r="Z920" s="33"/>
      <c r="AA920" s="83"/>
      <c r="AB920" s="33"/>
      <c r="AC920" s="83"/>
      <c r="AD920" s="33"/>
      <c r="AE920" s="83"/>
      <c r="AF920" s="33"/>
      <c r="AG920" s="244"/>
      <c r="AH920" s="83"/>
      <c r="AI920" s="246"/>
      <c r="AJ920" s="102"/>
      <c r="AK920" s="92"/>
      <c r="AL920" s="91"/>
      <c r="AM920" s="92"/>
      <c r="AN920" s="351"/>
      <c r="AO920" s="197">
        <f t="shared" si="59"/>
        <v>0</v>
      </c>
      <c r="AP920" s="91"/>
      <c r="AQ920" s="217"/>
      <c r="AR920" s="103"/>
      <c r="AS920" s="264"/>
      <c r="AT920" s="94"/>
      <c r="AU920" s="84"/>
      <c r="AV920" s="136"/>
      <c r="AW920" s="77"/>
      <c r="AX920" s="137"/>
      <c r="AY920" s="138"/>
      <c r="AZ920" s="220">
        <f t="shared" si="56"/>
        <v>0</v>
      </c>
      <c r="BA920" s="220">
        <f t="shared" si="57"/>
        <v>0</v>
      </c>
    </row>
    <row r="921" spans="1:53" ht="50.1" customHeight="1" x14ac:dyDescent="0.25">
      <c r="A921" s="17">
        <f t="shared" si="58"/>
        <v>907</v>
      </c>
      <c r="B921" s="228"/>
      <c r="C921" s="221"/>
      <c r="D921" s="88"/>
      <c r="E921" s="100"/>
      <c r="F921" s="95"/>
      <c r="G921" s="114"/>
      <c r="H921" s="96"/>
      <c r="I921" s="97"/>
      <c r="J921" s="98"/>
      <c r="K921" s="101"/>
      <c r="L921" s="124"/>
      <c r="M921" s="333"/>
      <c r="N921" s="341"/>
      <c r="O921" s="82"/>
      <c r="P921" s="93"/>
      <c r="Q921" s="82"/>
      <c r="R921" s="93"/>
      <c r="S921" s="298"/>
      <c r="T921" s="304"/>
      <c r="U921" s="307"/>
      <c r="V921" s="309"/>
      <c r="W921" s="248"/>
      <c r="X921" s="342"/>
      <c r="Y921" s="336"/>
      <c r="Z921" s="123"/>
      <c r="AA921" s="33"/>
      <c r="AB921" s="123"/>
      <c r="AC921" s="33"/>
      <c r="AD921" s="123"/>
      <c r="AE921" s="33"/>
      <c r="AF921" s="123"/>
      <c r="AG921" s="243"/>
      <c r="AH921" s="33"/>
      <c r="AI921" s="245"/>
      <c r="AJ921" s="125"/>
      <c r="AK921" s="91"/>
      <c r="AL921" s="126"/>
      <c r="AM921" s="91"/>
      <c r="AN921" s="91"/>
      <c r="AO921" s="197">
        <f t="shared" si="59"/>
        <v>0</v>
      </c>
      <c r="AP921" s="126"/>
      <c r="AQ921" s="216"/>
      <c r="AR921" s="127"/>
      <c r="AS921" s="269"/>
      <c r="AT921" s="94"/>
      <c r="AU921" s="84"/>
      <c r="AV921" s="80"/>
      <c r="AW921" s="81"/>
      <c r="AX921" s="77"/>
      <c r="AY921" s="107"/>
      <c r="AZ921" s="220">
        <f t="shared" si="56"/>
        <v>0</v>
      </c>
      <c r="BA921" s="220">
        <f t="shared" si="57"/>
        <v>0</v>
      </c>
    </row>
    <row r="922" spans="1:53" ht="50.1" customHeight="1" x14ac:dyDescent="0.25">
      <c r="A922" s="17">
        <f t="shared" si="58"/>
        <v>908</v>
      </c>
      <c r="B922" s="229"/>
      <c r="C922" s="222"/>
      <c r="D922" s="112"/>
      <c r="E922" s="128"/>
      <c r="F922" s="129"/>
      <c r="G922" s="130"/>
      <c r="H922" s="131"/>
      <c r="I922" s="132"/>
      <c r="J922" s="108"/>
      <c r="K922" s="133"/>
      <c r="L922" s="134"/>
      <c r="M922" s="334"/>
      <c r="N922" s="343"/>
      <c r="O922" s="135"/>
      <c r="P922" s="82"/>
      <c r="Q922" s="135"/>
      <c r="R922" s="82"/>
      <c r="S922" s="299"/>
      <c r="T922" s="305"/>
      <c r="U922" s="298"/>
      <c r="V922" s="304"/>
      <c r="W922" s="249"/>
      <c r="X922" s="344"/>
      <c r="Y922" s="337"/>
      <c r="Z922" s="33"/>
      <c r="AA922" s="83"/>
      <c r="AB922" s="33"/>
      <c r="AC922" s="83"/>
      <c r="AD922" s="33"/>
      <c r="AE922" s="83"/>
      <c r="AF922" s="33"/>
      <c r="AG922" s="244"/>
      <c r="AH922" s="83"/>
      <c r="AI922" s="246"/>
      <c r="AJ922" s="102"/>
      <c r="AK922" s="92"/>
      <c r="AL922" s="91"/>
      <c r="AM922" s="92"/>
      <c r="AN922" s="351"/>
      <c r="AO922" s="197">
        <f t="shared" si="59"/>
        <v>0</v>
      </c>
      <c r="AP922" s="91"/>
      <c r="AQ922" s="217"/>
      <c r="AR922" s="103"/>
      <c r="AS922" s="264"/>
      <c r="AT922" s="94"/>
      <c r="AU922" s="84"/>
      <c r="AV922" s="136"/>
      <c r="AW922" s="77"/>
      <c r="AX922" s="137"/>
      <c r="AY922" s="138"/>
      <c r="AZ922" s="220">
        <f t="shared" si="56"/>
        <v>0</v>
      </c>
      <c r="BA922" s="220">
        <f t="shared" si="57"/>
        <v>0</v>
      </c>
    </row>
    <row r="923" spans="1:53" ht="50.1" customHeight="1" x14ac:dyDescent="0.25">
      <c r="A923" s="17">
        <f t="shared" si="58"/>
        <v>909</v>
      </c>
      <c r="B923" s="228"/>
      <c r="C923" s="221"/>
      <c r="D923" s="88"/>
      <c r="E923" s="100"/>
      <c r="F923" s="95"/>
      <c r="G923" s="114"/>
      <c r="H923" s="96"/>
      <c r="I923" s="97"/>
      <c r="J923" s="98"/>
      <c r="K923" s="101"/>
      <c r="L923" s="124"/>
      <c r="M923" s="333"/>
      <c r="N923" s="341"/>
      <c r="O923" s="82"/>
      <c r="P923" s="93"/>
      <c r="Q923" s="82"/>
      <c r="R923" s="93"/>
      <c r="S923" s="298"/>
      <c r="T923" s="304"/>
      <c r="U923" s="307"/>
      <c r="V923" s="309"/>
      <c r="W923" s="248"/>
      <c r="X923" s="342"/>
      <c r="Y923" s="336"/>
      <c r="Z923" s="123"/>
      <c r="AA923" s="33"/>
      <c r="AB923" s="123"/>
      <c r="AC923" s="33"/>
      <c r="AD923" s="123"/>
      <c r="AE923" s="33"/>
      <c r="AF923" s="123"/>
      <c r="AG923" s="243"/>
      <c r="AH923" s="33"/>
      <c r="AI923" s="245"/>
      <c r="AJ923" s="125"/>
      <c r="AK923" s="91"/>
      <c r="AL923" s="126"/>
      <c r="AM923" s="91"/>
      <c r="AN923" s="91"/>
      <c r="AO923" s="197">
        <f t="shared" si="59"/>
        <v>0</v>
      </c>
      <c r="AP923" s="126"/>
      <c r="AQ923" s="216"/>
      <c r="AR923" s="127"/>
      <c r="AS923" s="269"/>
      <c r="AT923" s="94"/>
      <c r="AU923" s="84"/>
      <c r="AV923" s="80"/>
      <c r="AW923" s="81"/>
      <c r="AX923" s="77"/>
      <c r="AY923" s="107"/>
      <c r="AZ923" s="220">
        <f t="shared" si="56"/>
        <v>0</v>
      </c>
      <c r="BA923" s="220">
        <f t="shared" si="57"/>
        <v>0</v>
      </c>
    </row>
    <row r="924" spans="1:53" ht="50.1" customHeight="1" x14ac:dyDescent="0.25">
      <c r="A924" s="17">
        <f t="shared" si="58"/>
        <v>910</v>
      </c>
      <c r="B924" s="229"/>
      <c r="C924" s="222"/>
      <c r="D924" s="112"/>
      <c r="E924" s="128"/>
      <c r="F924" s="129"/>
      <c r="G924" s="130"/>
      <c r="H924" s="131"/>
      <c r="I924" s="132"/>
      <c r="J924" s="108"/>
      <c r="K924" s="133"/>
      <c r="L924" s="134"/>
      <c r="M924" s="334"/>
      <c r="N924" s="343"/>
      <c r="O924" s="135"/>
      <c r="P924" s="82"/>
      <c r="Q924" s="135"/>
      <c r="R924" s="82"/>
      <c r="S924" s="299"/>
      <c r="T924" s="305"/>
      <c r="U924" s="298"/>
      <c r="V924" s="304"/>
      <c r="W924" s="249"/>
      <c r="X924" s="344"/>
      <c r="Y924" s="337"/>
      <c r="Z924" s="33"/>
      <c r="AA924" s="83"/>
      <c r="AB924" s="33"/>
      <c r="AC924" s="83"/>
      <c r="AD924" s="33"/>
      <c r="AE924" s="83"/>
      <c r="AF924" s="33"/>
      <c r="AG924" s="244"/>
      <c r="AH924" s="83"/>
      <c r="AI924" s="246"/>
      <c r="AJ924" s="102"/>
      <c r="AK924" s="92"/>
      <c r="AL924" s="91"/>
      <c r="AM924" s="92"/>
      <c r="AN924" s="351"/>
      <c r="AO924" s="197">
        <f t="shared" si="59"/>
        <v>0</v>
      </c>
      <c r="AP924" s="91"/>
      <c r="AQ924" s="217"/>
      <c r="AR924" s="103"/>
      <c r="AS924" s="264"/>
      <c r="AT924" s="94"/>
      <c r="AU924" s="84"/>
      <c r="AV924" s="136"/>
      <c r="AW924" s="77"/>
      <c r="AX924" s="137"/>
      <c r="AY924" s="138"/>
      <c r="AZ924" s="220">
        <f t="shared" si="56"/>
        <v>0</v>
      </c>
      <c r="BA924" s="220">
        <f t="shared" si="57"/>
        <v>0</v>
      </c>
    </row>
    <row r="925" spans="1:53" ht="50.1" customHeight="1" x14ac:dyDescent="0.25">
      <c r="A925" s="17">
        <f t="shared" si="58"/>
        <v>911</v>
      </c>
      <c r="B925" s="228"/>
      <c r="C925" s="221"/>
      <c r="D925" s="88"/>
      <c r="E925" s="100"/>
      <c r="F925" s="95"/>
      <c r="G925" s="114"/>
      <c r="H925" s="96"/>
      <c r="I925" s="97"/>
      <c r="J925" s="98"/>
      <c r="K925" s="101"/>
      <c r="L925" s="124"/>
      <c r="M925" s="333"/>
      <c r="N925" s="341"/>
      <c r="O925" s="82"/>
      <c r="P925" s="93"/>
      <c r="Q925" s="82"/>
      <c r="R925" s="93"/>
      <c r="S925" s="298"/>
      <c r="T925" s="304"/>
      <c r="U925" s="307"/>
      <c r="V925" s="309"/>
      <c r="W925" s="248"/>
      <c r="X925" s="342"/>
      <c r="Y925" s="336"/>
      <c r="Z925" s="123"/>
      <c r="AA925" s="33"/>
      <c r="AB925" s="123"/>
      <c r="AC925" s="33"/>
      <c r="AD925" s="123"/>
      <c r="AE925" s="33"/>
      <c r="AF925" s="123"/>
      <c r="AG925" s="243"/>
      <c r="AH925" s="33"/>
      <c r="AI925" s="245"/>
      <c r="AJ925" s="125"/>
      <c r="AK925" s="91"/>
      <c r="AL925" s="126"/>
      <c r="AM925" s="91"/>
      <c r="AN925" s="91"/>
      <c r="AO925" s="197">
        <f t="shared" si="59"/>
        <v>0</v>
      </c>
      <c r="AP925" s="126"/>
      <c r="AQ925" s="216"/>
      <c r="AR925" s="127"/>
      <c r="AS925" s="269"/>
      <c r="AT925" s="94"/>
      <c r="AU925" s="84"/>
      <c r="AV925" s="80"/>
      <c r="AW925" s="81"/>
      <c r="AX925" s="77"/>
      <c r="AY925" s="107"/>
      <c r="AZ925" s="220">
        <f t="shared" si="56"/>
        <v>0</v>
      </c>
      <c r="BA925" s="220">
        <f t="shared" si="57"/>
        <v>0</v>
      </c>
    </row>
    <row r="926" spans="1:53" ht="50.1" customHeight="1" x14ac:dyDescent="0.25">
      <c r="A926" s="17">
        <f t="shared" si="58"/>
        <v>912</v>
      </c>
      <c r="B926" s="229"/>
      <c r="C926" s="222"/>
      <c r="D926" s="112"/>
      <c r="E926" s="128"/>
      <c r="F926" s="129"/>
      <c r="G926" s="130"/>
      <c r="H926" s="131"/>
      <c r="I926" s="132"/>
      <c r="J926" s="108"/>
      <c r="K926" s="133"/>
      <c r="L926" s="134"/>
      <c r="M926" s="334"/>
      <c r="N926" s="343"/>
      <c r="O926" s="135"/>
      <c r="P926" s="82"/>
      <c r="Q926" s="135"/>
      <c r="R926" s="82"/>
      <c r="S926" s="299"/>
      <c r="T926" s="305"/>
      <c r="U926" s="298"/>
      <c r="V926" s="304"/>
      <c r="W926" s="249"/>
      <c r="X926" s="344"/>
      <c r="Y926" s="337"/>
      <c r="Z926" s="33"/>
      <c r="AA926" s="83"/>
      <c r="AB926" s="33"/>
      <c r="AC926" s="83"/>
      <c r="AD926" s="33"/>
      <c r="AE926" s="83"/>
      <c r="AF926" s="33"/>
      <c r="AG926" s="244"/>
      <c r="AH926" s="83"/>
      <c r="AI926" s="246"/>
      <c r="AJ926" s="102"/>
      <c r="AK926" s="92"/>
      <c r="AL926" s="91"/>
      <c r="AM926" s="92"/>
      <c r="AN926" s="351"/>
      <c r="AO926" s="197">
        <f t="shared" si="59"/>
        <v>0</v>
      </c>
      <c r="AP926" s="91"/>
      <c r="AQ926" s="217"/>
      <c r="AR926" s="103"/>
      <c r="AS926" s="264"/>
      <c r="AT926" s="94"/>
      <c r="AU926" s="84"/>
      <c r="AV926" s="136"/>
      <c r="AW926" s="77"/>
      <c r="AX926" s="137"/>
      <c r="AY926" s="138"/>
      <c r="AZ926" s="220">
        <f t="shared" si="56"/>
        <v>0</v>
      </c>
      <c r="BA926" s="220">
        <f t="shared" si="57"/>
        <v>0</v>
      </c>
    </row>
    <row r="927" spans="1:53" ht="50.1" customHeight="1" x14ac:dyDescent="0.25">
      <c r="A927" s="17">
        <f t="shared" si="58"/>
        <v>913</v>
      </c>
      <c r="B927" s="228"/>
      <c r="C927" s="221"/>
      <c r="D927" s="88"/>
      <c r="E927" s="100"/>
      <c r="F927" s="95"/>
      <c r="G927" s="114"/>
      <c r="H927" s="96"/>
      <c r="I927" s="97"/>
      <c r="J927" s="98"/>
      <c r="K927" s="101"/>
      <c r="L927" s="124"/>
      <c r="M927" s="333"/>
      <c r="N927" s="341"/>
      <c r="O927" s="82"/>
      <c r="P927" s="93"/>
      <c r="Q927" s="82"/>
      <c r="R927" s="93"/>
      <c r="S927" s="298"/>
      <c r="T927" s="304"/>
      <c r="U927" s="307"/>
      <c r="V927" s="309"/>
      <c r="W927" s="248"/>
      <c r="X927" s="342"/>
      <c r="Y927" s="336"/>
      <c r="Z927" s="123"/>
      <c r="AA927" s="33"/>
      <c r="AB927" s="123"/>
      <c r="AC927" s="33"/>
      <c r="AD927" s="123"/>
      <c r="AE927" s="33"/>
      <c r="AF927" s="123"/>
      <c r="AG927" s="243"/>
      <c r="AH927" s="33"/>
      <c r="AI927" s="245"/>
      <c r="AJ927" s="125"/>
      <c r="AK927" s="91"/>
      <c r="AL927" s="126"/>
      <c r="AM927" s="91"/>
      <c r="AN927" s="91"/>
      <c r="AO927" s="197">
        <f t="shared" si="59"/>
        <v>0</v>
      </c>
      <c r="AP927" s="126"/>
      <c r="AQ927" s="216"/>
      <c r="AR927" s="127"/>
      <c r="AS927" s="269"/>
      <c r="AT927" s="94"/>
      <c r="AU927" s="84"/>
      <c r="AV927" s="80"/>
      <c r="AW927" s="81"/>
      <c r="AX927" s="77"/>
      <c r="AY927" s="107"/>
      <c r="AZ927" s="220">
        <f t="shared" si="56"/>
        <v>0</v>
      </c>
      <c r="BA927" s="220">
        <f t="shared" si="57"/>
        <v>0</v>
      </c>
    </row>
    <row r="928" spans="1:53" ht="50.1" customHeight="1" x14ac:dyDescent="0.25">
      <c r="A928" s="17">
        <f t="shared" si="58"/>
        <v>914</v>
      </c>
      <c r="B928" s="229"/>
      <c r="C928" s="222"/>
      <c r="D928" s="112"/>
      <c r="E928" s="128"/>
      <c r="F928" s="129"/>
      <c r="G928" s="130"/>
      <c r="H928" s="131"/>
      <c r="I928" s="132"/>
      <c r="J928" s="108"/>
      <c r="K928" s="133"/>
      <c r="L928" s="134"/>
      <c r="M928" s="334"/>
      <c r="N928" s="343"/>
      <c r="O928" s="135"/>
      <c r="P928" s="82"/>
      <c r="Q928" s="135"/>
      <c r="R928" s="82"/>
      <c r="S928" s="299"/>
      <c r="T928" s="305"/>
      <c r="U928" s="298"/>
      <c r="V928" s="304"/>
      <c r="W928" s="249"/>
      <c r="X928" s="344"/>
      <c r="Y928" s="337"/>
      <c r="Z928" s="33"/>
      <c r="AA928" s="83"/>
      <c r="AB928" s="33"/>
      <c r="AC928" s="83"/>
      <c r="AD928" s="33"/>
      <c r="AE928" s="83"/>
      <c r="AF928" s="33"/>
      <c r="AG928" s="244"/>
      <c r="AH928" s="83"/>
      <c r="AI928" s="246"/>
      <c r="AJ928" s="102"/>
      <c r="AK928" s="92"/>
      <c r="AL928" s="91"/>
      <c r="AM928" s="92"/>
      <c r="AN928" s="351"/>
      <c r="AO928" s="197">
        <f t="shared" si="59"/>
        <v>0</v>
      </c>
      <c r="AP928" s="91"/>
      <c r="AQ928" s="217"/>
      <c r="AR928" s="103"/>
      <c r="AS928" s="264"/>
      <c r="AT928" s="94"/>
      <c r="AU928" s="84"/>
      <c r="AV928" s="136"/>
      <c r="AW928" s="77"/>
      <c r="AX928" s="137"/>
      <c r="AY928" s="138"/>
      <c r="AZ928" s="220">
        <f t="shared" si="56"/>
        <v>0</v>
      </c>
      <c r="BA928" s="220">
        <f t="shared" si="57"/>
        <v>0</v>
      </c>
    </row>
    <row r="929" spans="1:53" ht="50.1" customHeight="1" x14ac:dyDescent="0.25">
      <c r="A929" s="17">
        <f t="shared" si="58"/>
        <v>915</v>
      </c>
      <c r="B929" s="228"/>
      <c r="C929" s="221"/>
      <c r="D929" s="88"/>
      <c r="E929" s="100"/>
      <c r="F929" s="95"/>
      <c r="G929" s="114"/>
      <c r="H929" s="96"/>
      <c r="I929" s="97"/>
      <c r="J929" s="98"/>
      <c r="K929" s="101"/>
      <c r="L929" s="124"/>
      <c r="M929" s="333"/>
      <c r="N929" s="341"/>
      <c r="O929" s="82"/>
      <c r="P929" s="93"/>
      <c r="Q929" s="82"/>
      <c r="R929" s="93"/>
      <c r="S929" s="298"/>
      <c r="T929" s="304"/>
      <c r="U929" s="307"/>
      <c r="V929" s="309"/>
      <c r="W929" s="248"/>
      <c r="X929" s="342"/>
      <c r="Y929" s="336"/>
      <c r="Z929" s="123"/>
      <c r="AA929" s="33"/>
      <c r="AB929" s="123"/>
      <c r="AC929" s="33"/>
      <c r="AD929" s="123"/>
      <c r="AE929" s="33"/>
      <c r="AF929" s="123"/>
      <c r="AG929" s="243"/>
      <c r="AH929" s="33"/>
      <c r="AI929" s="245"/>
      <c r="AJ929" s="125"/>
      <c r="AK929" s="91"/>
      <c r="AL929" s="126"/>
      <c r="AM929" s="91"/>
      <c r="AN929" s="91"/>
      <c r="AO929" s="197">
        <f t="shared" si="59"/>
        <v>0</v>
      </c>
      <c r="AP929" s="126"/>
      <c r="AQ929" s="216"/>
      <c r="AR929" s="127"/>
      <c r="AS929" s="269"/>
      <c r="AT929" s="94"/>
      <c r="AU929" s="84"/>
      <c r="AV929" s="80"/>
      <c r="AW929" s="81"/>
      <c r="AX929" s="77"/>
      <c r="AY929" s="107"/>
      <c r="AZ929" s="220">
        <f t="shared" si="56"/>
        <v>0</v>
      </c>
      <c r="BA929" s="220">
        <f t="shared" si="57"/>
        <v>0</v>
      </c>
    </row>
    <row r="930" spans="1:53" ht="50.1" customHeight="1" x14ac:dyDescent="0.25">
      <c r="A930" s="17">
        <f t="shared" si="58"/>
        <v>916</v>
      </c>
      <c r="B930" s="229"/>
      <c r="C930" s="222"/>
      <c r="D930" s="112"/>
      <c r="E930" s="128"/>
      <c r="F930" s="129"/>
      <c r="G930" s="130"/>
      <c r="H930" s="131"/>
      <c r="I930" s="132"/>
      <c r="J930" s="108"/>
      <c r="K930" s="133"/>
      <c r="L930" s="134"/>
      <c r="M930" s="334"/>
      <c r="N930" s="343"/>
      <c r="O930" s="135"/>
      <c r="P930" s="82"/>
      <c r="Q930" s="135"/>
      <c r="R930" s="82"/>
      <c r="S930" s="299"/>
      <c r="T930" s="305"/>
      <c r="U930" s="298"/>
      <c r="V930" s="304"/>
      <c r="W930" s="249"/>
      <c r="X930" s="344"/>
      <c r="Y930" s="337"/>
      <c r="Z930" s="33"/>
      <c r="AA930" s="83"/>
      <c r="AB930" s="33"/>
      <c r="AC930" s="83"/>
      <c r="AD930" s="33"/>
      <c r="AE930" s="83"/>
      <c r="AF930" s="33"/>
      <c r="AG930" s="244"/>
      <c r="AH930" s="83"/>
      <c r="AI930" s="246"/>
      <c r="AJ930" s="102"/>
      <c r="AK930" s="92"/>
      <c r="AL930" s="91"/>
      <c r="AM930" s="92"/>
      <c r="AN930" s="351"/>
      <c r="AO930" s="197">
        <f t="shared" si="59"/>
        <v>0</v>
      </c>
      <c r="AP930" s="91"/>
      <c r="AQ930" s="217"/>
      <c r="AR930" s="103"/>
      <c r="AS930" s="264"/>
      <c r="AT930" s="94"/>
      <c r="AU930" s="84"/>
      <c r="AV930" s="136"/>
      <c r="AW930" s="77"/>
      <c r="AX930" s="137"/>
      <c r="AY930" s="138"/>
      <c r="AZ930" s="220">
        <f t="shared" si="56"/>
        <v>0</v>
      </c>
      <c r="BA930" s="220">
        <f t="shared" si="57"/>
        <v>0</v>
      </c>
    </row>
    <row r="931" spans="1:53" ht="50.1" customHeight="1" x14ac:dyDescent="0.25">
      <c r="A931" s="17">
        <f t="shared" si="58"/>
        <v>917</v>
      </c>
      <c r="B931" s="228"/>
      <c r="C931" s="221"/>
      <c r="D931" s="88"/>
      <c r="E931" s="100"/>
      <c r="F931" s="95"/>
      <c r="G931" s="114"/>
      <c r="H931" s="96"/>
      <c r="I931" s="97"/>
      <c r="J931" s="98"/>
      <c r="K931" s="101"/>
      <c r="L931" s="124"/>
      <c r="M931" s="333"/>
      <c r="N931" s="341"/>
      <c r="O931" s="82"/>
      <c r="P931" s="93"/>
      <c r="Q931" s="82"/>
      <c r="R931" s="93"/>
      <c r="S931" s="298"/>
      <c r="T931" s="304"/>
      <c r="U931" s="307"/>
      <c r="V931" s="309"/>
      <c r="W931" s="248"/>
      <c r="X931" s="342"/>
      <c r="Y931" s="336"/>
      <c r="Z931" s="123"/>
      <c r="AA931" s="33"/>
      <c r="AB931" s="123"/>
      <c r="AC931" s="33"/>
      <c r="AD931" s="123"/>
      <c r="AE931" s="33"/>
      <c r="AF931" s="123"/>
      <c r="AG931" s="243"/>
      <c r="AH931" s="33"/>
      <c r="AI931" s="245"/>
      <c r="AJ931" s="125"/>
      <c r="AK931" s="91"/>
      <c r="AL931" s="126"/>
      <c r="AM931" s="91"/>
      <c r="AN931" s="91"/>
      <c r="AO931" s="197">
        <f t="shared" si="59"/>
        <v>0</v>
      </c>
      <c r="AP931" s="126"/>
      <c r="AQ931" s="216"/>
      <c r="AR931" s="127"/>
      <c r="AS931" s="269"/>
      <c r="AT931" s="94"/>
      <c r="AU931" s="84"/>
      <c r="AV931" s="80"/>
      <c r="AW931" s="81"/>
      <c r="AX931" s="77"/>
      <c r="AY931" s="107"/>
      <c r="AZ931" s="220">
        <f t="shared" si="56"/>
        <v>0</v>
      </c>
      <c r="BA931" s="220">
        <f t="shared" si="57"/>
        <v>0</v>
      </c>
    </row>
    <row r="932" spans="1:53" ht="50.1" customHeight="1" x14ac:dyDescent="0.25">
      <c r="A932" s="17">
        <f t="shared" si="58"/>
        <v>918</v>
      </c>
      <c r="B932" s="229"/>
      <c r="C932" s="222"/>
      <c r="D932" s="112"/>
      <c r="E932" s="128"/>
      <c r="F932" s="129"/>
      <c r="G932" s="130"/>
      <c r="H932" s="131"/>
      <c r="I932" s="132"/>
      <c r="J932" s="108"/>
      <c r="K932" s="133"/>
      <c r="L932" s="134"/>
      <c r="M932" s="334"/>
      <c r="N932" s="343"/>
      <c r="O932" s="135"/>
      <c r="P932" s="82"/>
      <c r="Q932" s="135"/>
      <c r="R932" s="82"/>
      <c r="S932" s="299"/>
      <c r="T932" s="305"/>
      <c r="U932" s="298"/>
      <c r="V932" s="304"/>
      <c r="W932" s="249"/>
      <c r="X932" s="344"/>
      <c r="Y932" s="337"/>
      <c r="Z932" s="33"/>
      <c r="AA932" s="83"/>
      <c r="AB932" s="33"/>
      <c r="AC932" s="83"/>
      <c r="AD932" s="33"/>
      <c r="AE932" s="83"/>
      <c r="AF932" s="33"/>
      <c r="AG932" s="244"/>
      <c r="AH932" s="83"/>
      <c r="AI932" s="246"/>
      <c r="AJ932" s="102"/>
      <c r="AK932" s="92"/>
      <c r="AL932" s="91"/>
      <c r="AM932" s="92"/>
      <c r="AN932" s="351"/>
      <c r="AO932" s="197">
        <f t="shared" si="59"/>
        <v>0</v>
      </c>
      <c r="AP932" s="91"/>
      <c r="AQ932" s="217"/>
      <c r="AR932" s="103"/>
      <c r="AS932" s="264"/>
      <c r="AT932" s="94"/>
      <c r="AU932" s="84"/>
      <c r="AV932" s="136"/>
      <c r="AW932" s="77"/>
      <c r="AX932" s="137"/>
      <c r="AY932" s="138"/>
      <c r="AZ932" s="220">
        <f t="shared" si="56"/>
        <v>0</v>
      </c>
      <c r="BA932" s="220">
        <f t="shared" si="57"/>
        <v>0</v>
      </c>
    </row>
    <row r="933" spans="1:53" ht="50.1" customHeight="1" x14ac:dyDescent="0.25">
      <c r="A933" s="17">
        <f t="shared" si="58"/>
        <v>919</v>
      </c>
      <c r="B933" s="228"/>
      <c r="C933" s="221"/>
      <c r="D933" s="88"/>
      <c r="E933" s="100"/>
      <c r="F933" s="95"/>
      <c r="G933" s="114"/>
      <c r="H933" s="96"/>
      <c r="I933" s="97"/>
      <c r="J933" s="98"/>
      <c r="K933" s="101"/>
      <c r="L933" s="124"/>
      <c r="M933" s="333"/>
      <c r="N933" s="341"/>
      <c r="O933" s="82"/>
      <c r="P933" s="93"/>
      <c r="Q933" s="82"/>
      <c r="R933" s="93"/>
      <c r="S933" s="298"/>
      <c r="T933" s="304"/>
      <c r="U933" s="307"/>
      <c r="V933" s="309"/>
      <c r="W933" s="248"/>
      <c r="X933" s="342"/>
      <c r="Y933" s="336"/>
      <c r="Z933" s="123"/>
      <c r="AA933" s="33"/>
      <c r="AB933" s="123"/>
      <c r="AC933" s="33"/>
      <c r="AD933" s="123"/>
      <c r="AE933" s="33"/>
      <c r="AF933" s="123"/>
      <c r="AG933" s="243"/>
      <c r="AH933" s="33"/>
      <c r="AI933" s="245"/>
      <c r="AJ933" s="125"/>
      <c r="AK933" s="91"/>
      <c r="AL933" s="126"/>
      <c r="AM933" s="91"/>
      <c r="AN933" s="91"/>
      <c r="AO933" s="197">
        <f t="shared" si="59"/>
        <v>0</v>
      </c>
      <c r="AP933" s="126"/>
      <c r="AQ933" s="216"/>
      <c r="AR933" s="127"/>
      <c r="AS933" s="269"/>
      <c r="AT933" s="94"/>
      <c r="AU933" s="84"/>
      <c r="AV933" s="80"/>
      <c r="AW933" s="81"/>
      <c r="AX933" s="77"/>
      <c r="AY933" s="107"/>
      <c r="AZ933" s="220">
        <f t="shared" si="56"/>
        <v>0</v>
      </c>
      <c r="BA933" s="220">
        <f t="shared" si="57"/>
        <v>0</v>
      </c>
    </row>
    <row r="934" spans="1:53" ht="50.1" customHeight="1" x14ac:dyDescent="0.25">
      <c r="A934" s="17">
        <f t="shared" si="58"/>
        <v>920</v>
      </c>
      <c r="B934" s="229"/>
      <c r="C934" s="222"/>
      <c r="D934" s="112"/>
      <c r="E934" s="128"/>
      <c r="F934" s="129"/>
      <c r="G934" s="130"/>
      <c r="H934" s="131"/>
      <c r="I934" s="132"/>
      <c r="J934" s="108"/>
      <c r="K934" s="133"/>
      <c r="L934" s="134"/>
      <c r="M934" s="334"/>
      <c r="N934" s="343"/>
      <c r="O934" s="135"/>
      <c r="P934" s="82"/>
      <c r="Q934" s="135"/>
      <c r="R934" s="82"/>
      <c r="S934" s="299"/>
      <c r="T934" s="305"/>
      <c r="U934" s="298"/>
      <c r="V934" s="304"/>
      <c r="W934" s="249"/>
      <c r="X934" s="344"/>
      <c r="Y934" s="337"/>
      <c r="Z934" s="33"/>
      <c r="AA934" s="83"/>
      <c r="AB934" s="33"/>
      <c r="AC934" s="83"/>
      <c r="AD934" s="33"/>
      <c r="AE934" s="83"/>
      <c r="AF934" s="33"/>
      <c r="AG934" s="244"/>
      <c r="AH934" s="83"/>
      <c r="AI934" s="246"/>
      <c r="AJ934" s="102"/>
      <c r="AK934" s="92"/>
      <c r="AL934" s="91"/>
      <c r="AM934" s="92"/>
      <c r="AN934" s="351"/>
      <c r="AO934" s="197">
        <f t="shared" si="59"/>
        <v>0</v>
      </c>
      <c r="AP934" s="91"/>
      <c r="AQ934" s="217"/>
      <c r="AR934" s="103"/>
      <c r="AS934" s="264"/>
      <c r="AT934" s="94"/>
      <c r="AU934" s="84"/>
      <c r="AV934" s="136"/>
      <c r="AW934" s="77"/>
      <c r="AX934" s="137"/>
      <c r="AY934" s="138"/>
      <c r="AZ934" s="220">
        <f t="shared" si="56"/>
        <v>0</v>
      </c>
      <c r="BA934" s="220">
        <f t="shared" si="57"/>
        <v>0</v>
      </c>
    </row>
    <row r="935" spans="1:53" ht="50.1" customHeight="1" x14ac:dyDescent="0.25">
      <c r="A935" s="17">
        <f t="shared" si="58"/>
        <v>921</v>
      </c>
      <c r="B935" s="228"/>
      <c r="C935" s="221"/>
      <c r="D935" s="88"/>
      <c r="E935" s="100"/>
      <c r="F935" s="95"/>
      <c r="G935" s="114"/>
      <c r="H935" s="96"/>
      <c r="I935" s="97"/>
      <c r="J935" s="98"/>
      <c r="K935" s="101"/>
      <c r="L935" s="124"/>
      <c r="M935" s="333"/>
      <c r="N935" s="341"/>
      <c r="O935" s="82"/>
      <c r="P935" s="93"/>
      <c r="Q935" s="82"/>
      <c r="R935" s="93"/>
      <c r="S935" s="298"/>
      <c r="T935" s="304"/>
      <c r="U935" s="307"/>
      <c r="V935" s="309"/>
      <c r="W935" s="248"/>
      <c r="X935" s="342"/>
      <c r="Y935" s="336"/>
      <c r="Z935" s="123"/>
      <c r="AA935" s="33"/>
      <c r="AB935" s="123"/>
      <c r="AC935" s="33"/>
      <c r="AD935" s="123"/>
      <c r="AE935" s="33"/>
      <c r="AF935" s="123"/>
      <c r="AG935" s="243"/>
      <c r="AH935" s="33"/>
      <c r="AI935" s="245"/>
      <c r="AJ935" s="125"/>
      <c r="AK935" s="91"/>
      <c r="AL935" s="126"/>
      <c r="AM935" s="91"/>
      <c r="AN935" s="91"/>
      <c r="AO935" s="197">
        <f t="shared" si="59"/>
        <v>0</v>
      </c>
      <c r="AP935" s="126"/>
      <c r="AQ935" s="216"/>
      <c r="AR935" s="127"/>
      <c r="AS935" s="269"/>
      <c r="AT935" s="94"/>
      <c r="AU935" s="84"/>
      <c r="AV935" s="80"/>
      <c r="AW935" s="81"/>
      <c r="AX935" s="77"/>
      <c r="AY935" s="107"/>
      <c r="AZ935" s="220">
        <f t="shared" si="56"/>
        <v>0</v>
      </c>
      <c r="BA935" s="220">
        <f t="shared" si="57"/>
        <v>0</v>
      </c>
    </row>
    <row r="936" spans="1:53" ht="50.1" customHeight="1" x14ac:dyDescent="0.25">
      <c r="A936" s="17">
        <f t="shared" si="58"/>
        <v>922</v>
      </c>
      <c r="B936" s="229"/>
      <c r="C936" s="222"/>
      <c r="D936" s="112"/>
      <c r="E936" s="128"/>
      <c r="F936" s="129"/>
      <c r="G936" s="130"/>
      <c r="H936" s="131"/>
      <c r="I936" s="132"/>
      <c r="J936" s="108"/>
      <c r="K936" s="133"/>
      <c r="L936" s="134"/>
      <c r="M936" s="334"/>
      <c r="N936" s="343"/>
      <c r="O936" s="135"/>
      <c r="P936" s="82"/>
      <c r="Q936" s="135"/>
      <c r="R936" s="82"/>
      <c r="S936" s="299"/>
      <c r="T936" s="305"/>
      <c r="U936" s="298"/>
      <c r="V936" s="304"/>
      <c r="W936" s="249"/>
      <c r="X936" s="344"/>
      <c r="Y936" s="337"/>
      <c r="Z936" s="33"/>
      <c r="AA936" s="83"/>
      <c r="AB936" s="33"/>
      <c r="AC936" s="83"/>
      <c r="AD936" s="33"/>
      <c r="AE936" s="83"/>
      <c r="AF936" s="33"/>
      <c r="AG936" s="244"/>
      <c r="AH936" s="83"/>
      <c r="AI936" s="246"/>
      <c r="AJ936" s="102"/>
      <c r="AK936" s="92"/>
      <c r="AL936" s="91"/>
      <c r="AM936" s="92"/>
      <c r="AN936" s="351"/>
      <c r="AO936" s="197">
        <f t="shared" si="59"/>
        <v>0</v>
      </c>
      <c r="AP936" s="91"/>
      <c r="AQ936" s="217"/>
      <c r="AR936" s="103"/>
      <c r="AS936" s="264"/>
      <c r="AT936" s="94"/>
      <c r="AU936" s="84"/>
      <c r="AV936" s="136"/>
      <c r="AW936" s="77"/>
      <c r="AX936" s="137"/>
      <c r="AY936" s="138"/>
      <c r="AZ936" s="220">
        <f t="shared" si="56"/>
        <v>0</v>
      </c>
      <c r="BA936" s="220">
        <f t="shared" si="57"/>
        <v>0</v>
      </c>
    </row>
    <row r="937" spans="1:53" ht="50.1" customHeight="1" x14ac:dyDescent="0.25">
      <c r="A937" s="17">
        <f t="shared" si="58"/>
        <v>923</v>
      </c>
      <c r="B937" s="228"/>
      <c r="C937" s="221"/>
      <c r="D937" s="88"/>
      <c r="E937" s="100"/>
      <c r="F937" s="95"/>
      <c r="G937" s="114"/>
      <c r="H937" s="96"/>
      <c r="I937" s="97"/>
      <c r="J937" s="98"/>
      <c r="K937" s="101"/>
      <c r="L937" s="124"/>
      <c r="M937" s="333"/>
      <c r="N937" s="341"/>
      <c r="O937" s="82"/>
      <c r="P937" s="93"/>
      <c r="Q937" s="82"/>
      <c r="R937" s="93"/>
      <c r="S937" s="298"/>
      <c r="T937" s="304"/>
      <c r="U937" s="307"/>
      <c r="V937" s="309"/>
      <c r="W937" s="248"/>
      <c r="X937" s="342"/>
      <c r="Y937" s="336"/>
      <c r="Z937" s="123"/>
      <c r="AA937" s="33"/>
      <c r="AB937" s="123"/>
      <c r="AC937" s="33"/>
      <c r="AD937" s="123"/>
      <c r="AE937" s="33"/>
      <c r="AF937" s="123"/>
      <c r="AG937" s="243"/>
      <c r="AH937" s="33"/>
      <c r="AI937" s="245"/>
      <c r="AJ937" s="125"/>
      <c r="AK937" s="91"/>
      <c r="AL937" s="126"/>
      <c r="AM937" s="91"/>
      <c r="AN937" s="91"/>
      <c r="AO937" s="197">
        <f t="shared" si="59"/>
        <v>0</v>
      </c>
      <c r="AP937" s="126"/>
      <c r="AQ937" s="216"/>
      <c r="AR937" s="127"/>
      <c r="AS937" s="269"/>
      <c r="AT937" s="94"/>
      <c r="AU937" s="84"/>
      <c r="AV937" s="80"/>
      <c r="AW937" s="81"/>
      <c r="AX937" s="77"/>
      <c r="AY937" s="107"/>
      <c r="AZ937" s="220">
        <f t="shared" si="56"/>
        <v>0</v>
      </c>
      <c r="BA937" s="220">
        <f t="shared" si="57"/>
        <v>0</v>
      </c>
    </row>
    <row r="938" spans="1:53" ht="50.1" customHeight="1" x14ac:dyDescent="0.25">
      <c r="A938" s="17">
        <f t="shared" si="58"/>
        <v>924</v>
      </c>
      <c r="B938" s="229"/>
      <c r="C938" s="222"/>
      <c r="D938" s="112"/>
      <c r="E938" s="128"/>
      <c r="F938" s="129"/>
      <c r="G938" s="130"/>
      <c r="H938" s="131"/>
      <c r="I938" s="132"/>
      <c r="J938" s="108"/>
      <c r="K938" s="133"/>
      <c r="L938" s="134"/>
      <c r="M938" s="334"/>
      <c r="N938" s="343"/>
      <c r="O938" s="135"/>
      <c r="P938" s="82"/>
      <c r="Q938" s="135"/>
      <c r="R938" s="82"/>
      <c r="S938" s="299"/>
      <c r="T938" s="305"/>
      <c r="U938" s="298"/>
      <c r="V938" s="304"/>
      <c r="W938" s="249"/>
      <c r="X938" s="344"/>
      <c r="Y938" s="337"/>
      <c r="Z938" s="33"/>
      <c r="AA938" s="83"/>
      <c r="AB938" s="33"/>
      <c r="AC938" s="83"/>
      <c r="AD938" s="33"/>
      <c r="AE938" s="83"/>
      <c r="AF938" s="33"/>
      <c r="AG938" s="244"/>
      <c r="AH938" s="83"/>
      <c r="AI938" s="246"/>
      <c r="AJ938" s="102"/>
      <c r="AK938" s="92"/>
      <c r="AL938" s="91"/>
      <c r="AM938" s="92"/>
      <c r="AN938" s="351"/>
      <c r="AO938" s="197">
        <f t="shared" si="59"/>
        <v>0</v>
      </c>
      <c r="AP938" s="91"/>
      <c r="AQ938" s="217"/>
      <c r="AR938" s="103"/>
      <c r="AS938" s="264"/>
      <c r="AT938" s="94"/>
      <c r="AU938" s="84"/>
      <c r="AV938" s="136"/>
      <c r="AW938" s="77"/>
      <c r="AX938" s="137"/>
      <c r="AY938" s="138"/>
      <c r="AZ938" s="220">
        <f t="shared" si="56"/>
        <v>0</v>
      </c>
      <c r="BA938" s="220">
        <f t="shared" si="57"/>
        <v>0</v>
      </c>
    </row>
    <row r="939" spans="1:53" ht="50.1" customHeight="1" x14ac:dyDescent="0.25">
      <c r="A939" s="17">
        <f t="shared" si="58"/>
        <v>925</v>
      </c>
      <c r="B939" s="228"/>
      <c r="C939" s="221"/>
      <c r="D939" s="88"/>
      <c r="E939" s="100"/>
      <c r="F939" s="95"/>
      <c r="G939" s="114"/>
      <c r="H939" s="96"/>
      <c r="I939" s="97"/>
      <c r="J939" s="98"/>
      <c r="K939" s="101"/>
      <c r="L939" s="124"/>
      <c r="M939" s="333"/>
      <c r="N939" s="341"/>
      <c r="O939" s="82"/>
      <c r="P939" s="93"/>
      <c r="Q939" s="82"/>
      <c r="R939" s="93"/>
      <c r="S939" s="298"/>
      <c r="T939" s="304"/>
      <c r="U939" s="307"/>
      <c r="V939" s="309"/>
      <c r="W939" s="248"/>
      <c r="X939" s="342"/>
      <c r="Y939" s="336"/>
      <c r="Z939" s="123"/>
      <c r="AA939" s="33"/>
      <c r="AB939" s="123"/>
      <c r="AC939" s="33"/>
      <c r="AD939" s="123"/>
      <c r="AE939" s="33"/>
      <c r="AF939" s="123"/>
      <c r="AG939" s="243"/>
      <c r="AH939" s="33"/>
      <c r="AI939" s="245"/>
      <c r="AJ939" s="125"/>
      <c r="AK939" s="91"/>
      <c r="AL939" s="126"/>
      <c r="AM939" s="91"/>
      <c r="AN939" s="91"/>
      <c r="AO939" s="197">
        <f t="shared" si="59"/>
        <v>0</v>
      </c>
      <c r="AP939" s="126"/>
      <c r="AQ939" s="216"/>
      <c r="AR939" s="127"/>
      <c r="AS939" s="269"/>
      <c r="AT939" s="94"/>
      <c r="AU939" s="84"/>
      <c r="AV939" s="80"/>
      <c r="AW939" s="81"/>
      <c r="AX939" s="77"/>
      <c r="AY939" s="107"/>
      <c r="AZ939" s="220">
        <f t="shared" si="56"/>
        <v>0</v>
      </c>
      <c r="BA939" s="220">
        <f t="shared" si="57"/>
        <v>0</v>
      </c>
    </row>
    <row r="940" spans="1:53" ht="50.1" customHeight="1" x14ac:dyDescent="0.25">
      <c r="A940" s="17">
        <f t="shared" si="58"/>
        <v>926</v>
      </c>
      <c r="B940" s="229"/>
      <c r="C940" s="222"/>
      <c r="D940" s="112"/>
      <c r="E940" s="128"/>
      <c r="F940" s="129"/>
      <c r="G940" s="130"/>
      <c r="H940" s="131"/>
      <c r="I940" s="132"/>
      <c r="J940" s="108"/>
      <c r="K940" s="133"/>
      <c r="L940" s="134"/>
      <c r="M940" s="334"/>
      <c r="N940" s="343"/>
      <c r="O940" s="135"/>
      <c r="P940" s="82"/>
      <c r="Q940" s="135"/>
      <c r="R940" s="82"/>
      <c r="S940" s="299"/>
      <c r="T940" s="305"/>
      <c r="U940" s="298"/>
      <c r="V940" s="304"/>
      <c r="W940" s="249"/>
      <c r="X940" s="344"/>
      <c r="Y940" s="337"/>
      <c r="Z940" s="33"/>
      <c r="AA940" s="83"/>
      <c r="AB940" s="33"/>
      <c r="AC940" s="83"/>
      <c r="AD940" s="33"/>
      <c r="AE940" s="83"/>
      <c r="AF940" s="33"/>
      <c r="AG940" s="244"/>
      <c r="AH940" s="83"/>
      <c r="AI940" s="246"/>
      <c r="AJ940" s="102"/>
      <c r="AK940" s="92"/>
      <c r="AL940" s="91"/>
      <c r="AM940" s="92"/>
      <c r="AN940" s="351"/>
      <c r="AO940" s="197">
        <f t="shared" si="59"/>
        <v>0</v>
      </c>
      <c r="AP940" s="91"/>
      <c r="AQ940" s="217"/>
      <c r="AR940" s="103"/>
      <c r="AS940" s="264"/>
      <c r="AT940" s="94"/>
      <c r="AU940" s="84"/>
      <c r="AV940" s="136"/>
      <c r="AW940" s="77"/>
      <c r="AX940" s="137"/>
      <c r="AY940" s="138"/>
      <c r="AZ940" s="220">
        <f t="shared" si="56"/>
        <v>0</v>
      </c>
      <c r="BA940" s="220">
        <f t="shared" si="57"/>
        <v>0</v>
      </c>
    </row>
    <row r="941" spans="1:53" ht="50.1" customHeight="1" x14ac:dyDescent="0.25">
      <c r="A941" s="17">
        <f t="shared" si="58"/>
        <v>927</v>
      </c>
      <c r="B941" s="228"/>
      <c r="C941" s="221"/>
      <c r="D941" s="88"/>
      <c r="E941" s="100"/>
      <c r="F941" s="95"/>
      <c r="G941" s="114"/>
      <c r="H941" s="96"/>
      <c r="I941" s="97"/>
      <c r="J941" s="98"/>
      <c r="K941" s="101"/>
      <c r="L941" s="124"/>
      <c r="M941" s="333"/>
      <c r="N941" s="341"/>
      <c r="O941" s="82"/>
      <c r="P941" s="93"/>
      <c r="Q941" s="82"/>
      <c r="R941" s="93"/>
      <c r="S941" s="298"/>
      <c r="T941" s="304"/>
      <c r="U941" s="307"/>
      <c r="V941" s="309"/>
      <c r="W941" s="248"/>
      <c r="X941" s="342"/>
      <c r="Y941" s="336"/>
      <c r="Z941" s="123"/>
      <c r="AA941" s="33"/>
      <c r="AB941" s="123"/>
      <c r="AC941" s="33"/>
      <c r="AD941" s="123"/>
      <c r="AE941" s="33"/>
      <c r="AF941" s="123"/>
      <c r="AG941" s="243"/>
      <c r="AH941" s="33"/>
      <c r="AI941" s="245"/>
      <c r="AJ941" s="125"/>
      <c r="AK941" s="91"/>
      <c r="AL941" s="126"/>
      <c r="AM941" s="91"/>
      <c r="AN941" s="91"/>
      <c r="AO941" s="197">
        <f t="shared" si="59"/>
        <v>0</v>
      </c>
      <c r="AP941" s="126"/>
      <c r="AQ941" s="216"/>
      <c r="AR941" s="127"/>
      <c r="AS941" s="269"/>
      <c r="AT941" s="94"/>
      <c r="AU941" s="84"/>
      <c r="AV941" s="80"/>
      <c r="AW941" s="81"/>
      <c r="AX941" s="77"/>
      <c r="AY941" s="107"/>
      <c r="AZ941" s="220">
        <f t="shared" si="56"/>
        <v>0</v>
      </c>
      <c r="BA941" s="220">
        <f t="shared" si="57"/>
        <v>0</v>
      </c>
    </row>
    <row r="942" spans="1:53" ht="50.1" customHeight="1" x14ac:dyDescent="0.25">
      <c r="A942" s="17">
        <f t="shared" si="58"/>
        <v>928</v>
      </c>
      <c r="B942" s="229"/>
      <c r="C942" s="222"/>
      <c r="D942" s="112"/>
      <c r="E942" s="128"/>
      <c r="F942" s="129"/>
      <c r="G942" s="130"/>
      <c r="H942" s="131"/>
      <c r="I942" s="132"/>
      <c r="J942" s="108"/>
      <c r="K942" s="133"/>
      <c r="L942" s="134"/>
      <c r="M942" s="334"/>
      <c r="N942" s="343"/>
      <c r="O942" s="135"/>
      <c r="P942" s="82"/>
      <c r="Q942" s="135"/>
      <c r="R942" s="82"/>
      <c r="S942" s="299"/>
      <c r="T942" s="305"/>
      <c r="U942" s="298"/>
      <c r="V942" s="304"/>
      <c r="W942" s="249"/>
      <c r="X942" s="344"/>
      <c r="Y942" s="337"/>
      <c r="Z942" s="33"/>
      <c r="AA942" s="83"/>
      <c r="AB942" s="33"/>
      <c r="AC942" s="83"/>
      <c r="AD942" s="33"/>
      <c r="AE942" s="83"/>
      <c r="AF942" s="33"/>
      <c r="AG942" s="244"/>
      <c r="AH942" s="83"/>
      <c r="AI942" s="246"/>
      <c r="AJ942" s="102"/>
      <c r="AK942" s="92"/>
      <c r="AL942" s="91"/>
      <c r="AM942" s="92"/>
      <c r="AN942" s="351"/>
      <c r="AO942" s="197">
        <f t="shared" si="59"/>
        <v>0</v>
      </c>
      <c r="AP942" s="91"/>
      <c r="AQ942" s="217"/>
      <c r="AR942" s="103"/>
      <c r="AS942" s="264"/>
      <c r="AT942" s="94"/>
      <c r="AU942" s="84"/>
      <c r="AV942" s="136"/>
      <c r="AW942" s="77"/>
      <c r="AX942" s="137"/>
      <c r="AY942" s="138"/>
      <c r="AZ942" s="220">
        <f t="shared" si="56"/>
        <v>0</v>
      </c>
      <c r="BA942" s="220">
        <f t="shared" si="57"/>
        <v>0</v>
      </c>
    </row>
    <row r="943" spans="1:53" ht="50.1" customHeight="1" x14ac:dyDescent="0.25">
      <c r="A943" s="17">
        <f t="shared" si="58"/>
        <v>929</v>
      </c>
      <c r="B943" s="228"/>
      <c r="C943" s="221"/>
      <c r="D943" s="88"/>
      <c r="E943" s="100"/>
      <c r="F943" s="95"/>
      <c r="G943" s="114"/>
      <c r="H943" s="96"/>
      <c r="I943" s="97"/>
      <c r="J943" s="98"/>
      <c r="K943" s="101"/>
      <c r="L943" s="124"/>
      <c r="M943" s="333"/>
      <c r="N943" s="341"/>
      <c r="O943" s="82"/>
      <c r="P943" s="93"/>
      <c r="Q943" s="82"/>
      <c r="R943" s="93"/>
      <c r="S943" s="298"/>
      <c r="T943" s="304"/>
      <c r="U943" s="307"/>
      <c r="V943" s="309"/>
      <c r="W943" s="248"/>
      <c r="X943" s="342"/>
      <c r="Y943" s="336"/>
      <c r="Z943" s="123"/>
      <c r="AA943" s="33"/>
      <c r="AB943" s="123"/>
      <c r="AC943" s="33"/>
      <c r="AD943" s="123"/>
      <c r="AE943" s="33"/>
      <c r="AF943" s="123"/>
      <c r="AG943" s="243"/>
      <c r="AH943" s="33"/>
      <c r="AI943" s="245"/>
      <c r="AJ943" s="125"/>
      <c r="AK943" s="91"/>
      <c r="AL943" s="126"/>
      <c r="AM943" s="91"/>
      <c r="AN943" s="91"/>
      <c r="AO943" s="197">
        <f t="shared" si="59"/>
        <v>0</v>
      </c>
      <c r="AP943" s="126"/>
      <c r="AQ943" s="216"/>
      <c r="AR943" s="127"/>
      <c r="AS943" s="269"/>
      <c r="AT943" s="94"/>
      <c r="AU943" s="84"/>
      <c r="AV943" s="80"/>
      <c r="AW943" s="81"/>
      <c r="AX943" s="77"/>
      <c r="AY943" s="107"/>
      <c r="AZ943" s="220">
        <f t="shared" si="56"/>
        <v>0</v>
      </c>
      <c r="BA943" s="220">
        <f t="shared" si="57"/>
        <v>0</v>
      </c>
    </row>
    <row r="944" spans="1:53" ht="50.1" customHeight="1" x14ac:dyDescent="0.25">
      <c r="A944" s="17">
        <f t="shared" si="58"/>
        <v>930</v>
      </c>
      <c r="B944" s="229"/>
      <c r="C944" s="222"/>
      <c r="D944" s="112"/>
      <c r="E944" s="128"/>
      <c r="F944" s="129"/>
      <c r="G944" s="130"/>
      <c r="H944" s="131"/>
      <c r="I944" s="132"/>
      <c r="J944" s="108"/>
      <c r="K944" s="133"/>
      <c r="L944" s="134"/>
      <c r="M944" s="334"/>
      <c r="N944" s="343"/>
      <c r="O944" s="135"/>
      <c r="P944" s="82"/>
      <c r="Q944" s="135"/>
      <c r="R944" s="82"/>
      <c r="S944" s="299"/>
      <c r="T944" s="305"/>
      <c r="U944" s="298"/>
      <c r="V944" s="304"/>
      <c r="W944" s="249"/>
      <c r="X944" s="344"/>
      <c r="Y944" s="337"/>
      <c r="Z944" s="33"/>
      <c r="AA944" s="83"/>
      <c r="AB944" s="33"/>
      <c r="AC944" s="83"/>
      <c r="AD944" s="33"/>
      <c r="AE944" s="83"/>
      <c r="AF944" s="33"/>
      <c r="AG944" s="244"/>
      <c r="AH944" s="83"/>
      <c r="AI944" s="246"/>
      <c r="AJ944" s="102"/>
      <c r="AK944" s="92"/>
      <c r="AL944" s="91"/>
      <c r="AM944" s="92"/>
      <c r="AN944" s="351"/>
      <c r="AO944" s="197">
        <f t="shared" si="59"/>
        <v>0</v>
      </c>
      <c r="AP944" s="91"/>
      <c r="AQ944" s="217"/>
      <c r="AR944" s="103"/>
      <c r="AS944" s="264"/>
      <c r="AT944" s="94"/>
      <c r="AU944" s="84"/>
      <c r="AV944" s="136"/>
      <c r="AW944" s="77"/>
      <c r="AX944" s="137"/>
      <c r="AY944" s="138"/>
      <c r="AZ944" s="220">
        <f t="shared" si="56"/>
        <v>0</v>
      </c>
      <c r="BA944" s="220">
        <f t="shared" si="57"/>
        <v>0</v>
      </c>
    </row>
    <row r="945" spans="1:53" ht="50.1" customHeight="1" x14ac:dyDescent="0.25">
      <c r="A945" s="17">
        <f t="shared" si="58"/>
        <v>931</v>
      </c>
      <c r="B945" s="228"/>
      <c r="C945" s="221"/>
      <c r="D945" s="88"/>
      <c r="E945" s="100"/>
      <c r="F945" s="95"/>
      <c r="G945" s="114"/>
      <c r="H945" s="96"/>
      <c r="I945" s="97"/>
      <c r="J945" s="98"/>
      <c r="K945" s="101"/>
      <c r="L945" s="124"/>
      <c r="M945" s="333"/>
      <c r="N945" s="341"/>
      <c r="O945" s="82"/>
      <c r="P945" s="93"/>
      <c r="Q945" s="82"/>
      <c r="R945" s="93"/>
      <c r="S945" s="298"/>
      <c r="T945" s="304"/>
      <c r="U945" s="307"/>
      <c r="V945" s="309"/>
      <c r="W945" s="248"/>
      <c r="X945" s="342"/>
      <c r="Y945" s="336"/>
      <c r="Z945" s="123"/>
      <c r="AA945" s="33"/>
      <c r="AB945" s="123"/>
      <c r="AC945" s="33"/>
      <c r="AD945" s="123"/>
      <c r="AE945" s="33"/>
      <c r="AF945" s="123"/>
      <c r="AG945" s="243"/>
      <c r="AH945" s="33"/>
      <c r="AI945" s="245"/>
      <c r="AJ945" s="125"/>
      <c r="AK945" s="91"/>
      <c r="AL945" s="126"/>
      <c r="AM945" s="91"/>
      <c r="AN945" s="91"/>
      <c r="AO945" s="197">
        <f t="shared" si="59"/>
        <v>0</v>
      </c>
      <c r="AP945" s="126"/>
      <c r="AQ945" s="216"/>
      <c r="AR945" s="127"/>
      <c r="AS945" s="269"/>
      <c r="AT945" s="94"/>
      <c r="AU945" s="84"/>
      <c r="AV945" s="80"/>
      <c r="AW945" s="81"/>
      <c r="AX945" s="77"/>
      <c r="AY945" s="107"/>
      <c r="AZ945" s="220">
        <f t="shared" si="56"/>
        <v>0</v>
      </c>
      <c r="BA945" s="220">
        <f t="shared" si="57"/>
        <v>0</v>
      </c>
    </row>
    <row r="946" spans="1:53" ht="50.1" customHeight="1" x14ac:dyDescent="0.25">
      <c r="A946" s="17">
        <f t="shared" si="58"/>
        <v>932</v>
      </c>
      <c r="B946" s="229"/>
      <c r="C946" s="222"/>
      <c r="D946" s="112"/>
      <c r="E946" s="128"/>
      <c r="F946" s="129"/>
      <c r="G946" s="130"/>
      <c r="H946" s="131"/>
      <c r="I946" s="132"/>
      <c r="J946" s="108"/>
      <c r="K946" s="133"/>
      <c r="L946" s="134"/>
      <c r="M946" s="334"/>
      <c r="N946" s="343"/>
      <c r="O946" s="135"/>
      <c r="P946" s="82"/>
      <c r="Q946" s="135"/>
      <c r="R946" s="82"/>
      <c r="S946" s="299"/>
      <c r="T946" s="305"/>
      <c r="U946" s="298"/>
      <c r="V946" s="304"/>
      <c r="W946" s="249"/>
      <c r="X946" s="344"/>
      <c r="Y946" s="337"/>
      <c r="Z946" s="33"/>
      <c r="AA946" s="83"/>
      <c r="AB946" s="33"/>
      <c r="AC946" s="83"/>
      <c r="AD946" s="33"/>
      <c r="AE946" s="83"/>
      <c r="AF946" s="33"/>
      <c r="AG946" s="244"/>
      <c r="AH946" s="83"/>
      <c r="AI946" s="246"/>
      <c r="AJ946" s="102"/>
      <c r="AK946" s="92"/>
      <c r="AL946" s="91"/>
      <c r="AM946" s="92"/>
      <c r="AN946" s="351"/>
      <c r="AO946" s="197">
        <f t="shared" si="59"/>
        <v>0</v>
      </c>
      <c r="AP946" s="91"/>
      <c r="AQ946" s="217"/>
      <c r="AR946" s="103"/>
      <c r="AS946" s="264"/>
      <c r="AT946" s="94"/>
      <c r="AU946" s="84"/>
      <c r="AV946" s="136"/>
      <c r="AW946" s="77"/>
      <c r="AX946" s="137"/>
      <c r="AY946" s="138"/>
      <c r="AZ946" s="220">
        <f t="shared" si="56"/>
        <v>0</v>
      </c>
      <c r="BA946" s="220">
        <f t="shared" si="57"/>
        <v>0</v>
      </c>
    </row>
    <row r="947" spans="1:53" ht="50.1" customHeight="1" x14ac:dyDescent="0.25">
      <c r="A947" s="17">
        <f t="shared" si="58"/>
        <v>933</v>
      </c>
      <c r="B947" s="228"/>
      <c r="C947" s="221"/>
      <c r="D947" s="88"/>
      <c r="E947" s="100"/>
      <c r="F947" s="95"/>
      <c r="G947" s="114"/>
      <c r="H947" s="96"/>
      <c r="I947" s="97"/>
      <c r="J947" s="98"/>
      <c r="K947" s="101"/>
      <c r="L947" s="124"/>
      <c r="M947" s="333"/>
      <c r="N947" s="341"/>
      <c r="O947" s="82"/>
      <c r="P947" s="93"/>
      <c r="Q947" s="82"/>
      <c r="R947" s="93"/>
      <c r="S947" s="298"/>
      <c r="T947" s="304"/>
      <c r="U947" s="307"/>
      <c r="V947" s="309"/>
      <c r="W947" s="248"/>
      <c r="X947" s="342"/>
      <c r="Y947" s="336"/>
      <c r="Z947" s="123"/>
      <c r="AA947" s="33"/>
      <c r="AB947" s="123"/>
      <c r="AC947" s="33"/>
      <c r="AD947" s="123"/>
      <c r="AE947" s="33"/>
      <c r="AF947" s="123"/>
      <c r="AG947" s="243"/>
      <c r="AH947" s="33"/>
      <c r="AI947" s="245"/>
      <c r="AJ947" s="125"/>
      <c r="AK947" s="91"/>
      <c r="AL947" s="126"/>
      <c r="AM947" s="91"/>
      <c r="AN947" s="91"/>
      <c r="AO947" s="197">
        <f t="shared" si="59"/>
        <v>0</v>
      </c>
      <c r="AP947" s="126"/>
      <c r="AQ947" s="216"/>
      <c r="AR947" s="127"/>
      <c r="AS947" s="269"/>
      <c r="AT947" s="94"/>
      <c r="AU947" s="84"/>
      <c r="AV947" s="80"/>
      <c r="AW947" s="81"/>
      <c r="AX947" s="77"/>
      <c r="AY947" s="107"/>
      <c r="AZ947" s="220">
        <f t="shared" si="56"/>
        <v>0</v>
      </c>
      <c r="BA947" s="220">
        <f t="shared" si="57"/>
        <v>0</v>
      </c>
    </row>
    <row r="948" spans="1:53" ht="50.1" customHeight="1" x14ac:dyDescent="0.25">
      <c r="A948" s="17">
        <f t="shared" si="58"/>
        <v>934</v>
      </c>
      <c r="B948" s="229"/>
      <c r="C948" s="222"/>
      <c r="D948" s="112"/>
      <c r="E948" s="128"/>
      <c r="F948" s="129"/>
      <c r="G948" s="130"/>
      <c r="H948" s="131"/>
      <c r="I948" s="132"/>
      <c r="J948" s="108"/>
      <c r="K948" s="133"/>
      <c r="L948" s="134"/>
      <c r="M948" s="334"/>
      <c r="N948" s="343"/>
      <c r="O948" s="135"/>
      <c r="P948" s="82"/>
      <c r="Q948" s="135"/>
      <c r="R948" s="82"/>
      <c r="S948" s="299"/>
      <c r="T948" s="305"/>
      <c r="U948" s="298"/>
      <c r="V948" s="304"/>
      <c r="W948" s="249"/>
      <c r="X948" s="344"/>
      <c r="Y948" s="337"/>
      <c r="Z948" s="33"/>
      <c r="AA948" s="83"/>
      <c r="AB948" s="33"/>
      <c r="AC948" s="83"/>
      <c r="AD948" s="33"/>
      <c r="AE948" s="83"/>
      <c r="AF948" s="33"/>
      <c r="AG948" s="244"/>
      <c r="AH948" s="83"/>
      <c r="AI948" s="246"/>
      <c r="AJ948" s="102"/>
      <c r="AK948" s="92"/>
      <c r="AL948" s="91"/>
      <c r="AM948" s="92"/>
      <c r="AN948" s="351"/>
      <c r="AO948" s="197">
        <f t="shared" si="59"/>
        <v>0</v>
      </c>
      <c r="AP948" s="91"/>
      <c r="AQ948" s="217"/>
      <c r="AR948" s="103"/>
      <c r="AS948" s="264"/>
      <c r="AT948" s="94"/>
      <c r="AU948" s="84"/>
      <c r="AV948" s="136"/>
      <c r="AW948" s="77"/>
      <c r="AX948" s="137"/>
      <c r="AY948" s="138"/>
      <c r="AZ948" s="220">
        <f t="shared" si="56"/>
        <v>0</v>
      </c>
      <c r="BA948" s="220">
        <f t="shared" si="57"/>
        <v>0</v>
      </c>
    </row>
    <row r="949" spans="1:53" ht="50.1" customHeight="1" x14ac:dyDescent="0.25">
      <c r="A949" s="17">
        <f t="shared" si="58"/>
        <v>935</v>
      </c>
      <c r="B949" s="228"/>
      <c r="C949" s="221"/>
      <c r="D949" s="88"/>
      <c r="E949" s="100"/>
      <c r="F949" s="95"/>
      <c r="G949" s="114"/>
      <c r="H949" s="96"/>
      <c r="I949" s="97"/>
      <c r="J949" s="98"/>
      <c r="K949" s="101"/>
      <c r="L949" s="124"/>
      <c r="M949" s="333"/>
      <c r="N949" s="341"/>
      <c r="O949" s="82"/>
      <c r="P949" s="93"/>
      <c r="Q949" s="82"/>
      <c r="R949" s="93"/>
      <c r="S949" s="298"/>
      <c r="T949" s="304"/>
      <c r="U949" s="307"/>
      <c r="V949" s="309"/>
      <c r="W949" s="248"/>
      <c r="X949" s="342"/>
      <c r="Y949" s="336"/>
      <c r="Z949" s="123"/>
      <c r="AA949" s="33"/>
      <c r="AB949" s="123"/>
      <c r="AC949" s="33"/>
      <c r="AD949" s="123"/>
      <c r="AE949" s="33"/>
      <c r="AF949" s="123"/>
      <c r="AG949" s="243"/>
      <c r="AH949" s="33"/>
      <c r="AI949" s="245"/>
      <c r="AJ949" s="125"/>
      <c r="AK949" s="91"/>
      <c r="AL949" s="126"/>
      <c r="AM949" s="91"/>
      <c r="AN949" s="91"/>
      <c r="AO949" s="197">
        <f t="shared" si="59"/>
        <v>0</v>
      </c>
      <c r="AP949" s="126"/>
      <c r="AQ949" s="216"/>
      <c r="AR949" s="127"/>
      <c r="AS949" s="269"/>
      <c r="AT949" s="94"/>
      <c r="AU949" s="84"/>
      <c r="AV949" s="80"/>
      <c r="AW949" s="81"/>
      <c r="AX949" s="77"/>
      <c r="AY949" s="107"/>
      <c r="AZ949" s="220">
        <f t="shared" si="56"/>
        <v>0</v>
      </c>
      <c r="BA949" s="220">
        <f t="shared" si="57"/>
        <v>0</v>
      </c>
    </row>
    <row r="950" spans="1:53" ht="50.1" customHeight="1" x14ac:dyDescent="0.25">
      <c r="A950" s="17">
        <f t="shared" si="58"/>
        <v>936</v>
      </c>
      <c r="B950" s="229"/>
      <c r="C950" s="222"/>
      <c r="D950" s="112"/>
      <c r="E950" s="128"/>
      <c r="F950" s="129"/>
      <c r="G950" s="130"/>
      <c r="H950" s="131"/>
      <c r="I950" s="132"/>
      <c r="J950" s="108"/>
      <c r="K950" s="133"/>
      <c r="L950" s="134"/>
      <c r="M950" s="334"/>
      <c r="N950" s="343"/>
      <c r="O950" s="135"/>
      <c r="P950" s="82"/>
      <c r="Q950" s="135"/>
      <c r="R950" s="82"/>
      <c r="S950" s="299"/>
      <c r="T950" s="305"/>
      <c r="U950" s="298"/>
      <c r="V950" s="304"/>
      <c r="W950" s="249"/>
      <c r="X950" s="344"/>
      <c r="Y950" s="337"/>
      <c r="Z950" s="33"/>
      <c r="AA950" s="83"/>
      <c r="AB950" s="33"/>
      <c r="AC950" s="83"/>
      <c r="AD950" s="33"/>
      <c r="AE950" s="83"/>
      <c r="AF950" s="33"/>
      <c r="AG950" s="244"/>
      <c r="AH950" s="83"/>
      <c r="AI950" s="246"/>
      <c r="AJ950" s="102"/>
      <c r="AK950" s="92"/>
      <c r="AL950" s="91"/>
      <c r="AM950" s="92"/>
      <c r="AN950" s="351"/>
      <c r="AO950" s="197">
        <f t="shared" si="59"/>
        <v>0</v>
      </c>
      <c r="AP950" s="91"/>
      <c r="AQ950" s="217"/>
      <c r="AR950" s="103"/>
      <c r="AS950" s="264"/>
      <c r="AT950" s="94"/>
      <c r="AU950" s="84"/>
      <c r="AV950" s="136"/>
      <c r="AW950" s="77"/>
      <c r="AX950" s="137"/>
      <c r="AY950" s="138"/>
      <c r="AZ950" s="220">
        <f t="shared" si="56"/>
        <v>0</v>
      </c>
      <c r="BA950" s="220">
        <f t="shared" si="57"/>
        <v>0</v>
      </c>
    </row>
    <row r="951" spans="1:53" ht="50.1" customHeight="1" x14ac:dyDescent="0.25">
      <c r="A951" s="17">
        <f t="shared" si="58"/>
        <v>937</v>
      </c>
      <c r="B951" s="228"/>
      <c r="C951" s="221"/>
      <c r="D951" s="88"/>
      <c r="E951" s="100"/>
      <c r="F951" s="95"/>
      <c r="G951" s="114"/>
      <c r="H951" s="96"/>
      <c r="I951" s="97"/>
      <c r="J951" s="98"/>
      <c r="K951" s="101"/>
      <c r="L951" s="124"/>
      <c r="M951" s="333"/>
      <c r="N951" s="341"/>
      <c r="O951" s="82"/>
      <c r="P951" s="93"/>
      <c r="Q951" s="82"/>
      <c r="R951" s="93"/>
      <c r="S951" s="298"/>
      <c r="T951" s="304"/>
      <c r="U951" s="307"/>
      <c r="V951" s="309"/>
      <c r="W951" s="248"/>
      <c r="X951" s="342"/>
      <c r="Y951" s="336"/>
      <c r="Z951" s="123"/>
      <c r="AA951" s="33"/>
      <c r="AB951" s="123"/>
      <c r="AC951" s="33"/>
      <c r="AD951" s="123"/>
      <c r="AE951" s="33"/>
      <c r="AF951" s="123"/>
      <c r="AG951" s="243"/>
      <c r="AH951" s="33"/>
      <c r="AI951" s="245"/>
      <c r="AJ951" s="125"/>
      <c r="AK951" s="91"/>
      <c r="AL951" s="126"/>
      <c r="AM951" s="91"/>
      <c r="AN951" s="91"/>
      <c r="AO951" s="197">
        <f t="shared" si="59"/>
        <v>0</v>
      </c>
      <c r="AP951" s="126"/>
      <c r="AQ951" s="216"/>
      <c r="AR951" s="127"/>
      <c r="AS951" s="269"/>
      <c r="AT951" s="94"/>
      <c r="AU951" s="84"/>
      <c r="AV951" s="80"/>
      <c r="AW951" s="81"/>
      <c r="AX951" s="77"/>
      <c r="AY951" s="107"/>
      <c r="AZ951" s="220">
        <f t="shared" si="56"/>
        <v>0</v>
      </c>
      <c r="BA951" s="220">
        <f t="shared" si="57"/>
        <v>0</v>
      </c>
    </row>
    <row r="952" spans="1:53" ht="50.1" customHeight="1" x14ac:dyDescent="0.25">
      <c r="A952" s="17">
        <f t="shared" si="58"/>
        <v>938</v>
      </c>
      <c r="B952" s="229"/>
      <c r="C952" s="222"/>
      <c r="D952" s="112"/>
      <c r="E952" s="128"/>
      <c r="F952" s="129"/>
      <c r="G952" s="130"/>
      <c r="H952" s="131"/>
      <c r="I952" s="132"/>
      <c r="J952" s="108"/>
      <c r="K952" s="133"/>
      <c r="L952" s="134"/>
      <c r="M952" s="334"/>
      <c r="N952" s="343"/>
      <c r="O952" s="135"/>
      <c r="P952" s="82"/>
      <c r="Q952" s="135"/>
      <c r="R952" s="82"/>
      <c r="S952" s="299"/>
      <c r="T952" s="305"/>
      <c r="U952" s="298"/>
      <c r="V952" s="304"/>
      <c r="W952" s="249"/>
      <c r="X952" s="344"/>
      <c r="Y952" s="337"/>
      <c r="Z952" s="33"/>
      <c r="AA952" s="83"/>
      <c r="AB952" s="33"/>
      <c r="AC952" s="83"/>
      <c r="AD952" s="33"/>
      <c r="AE952" s="83"/>
      <c r="AF952" s="33"/>
      <c r="AG952" s="244"/>
      <c r="AH952" s="83"/>
      <c r="AI952" s="246"/>
      <c r="AJ952" s="102"/>
      <c r="AK952" s="92"/>
      <c r="AL952" s="91"/>
      <c r="AM952" s="92"/>
      <c r="AN952" s="351"/>
      <c r="AO952" s="197">
        <f t="shared" si="59"/>
        <v>0</v>
      </c>
      <c r="AP952" s="91"/>
      <c r="AQ952" s="217"/>
      <c r="AR952" s="103"/>
      <c r="AS952" s="264"/>
      <c r="AT952" s="94"/>
      <c r="AU952" s="84"/>
      <c r="AV952" s="136"/>
      <c r="AW952" s="77"/>
      <c r="AX952" s="137"/>
      <c r="AY952" s="138"/>
      <c r="AZ952" s="220">
        <f t="shared" si="56"/>
        <v>0</v>
      </c>
      <c r="BA952" s="220">
        <f t="shared" si="57"/>
        <v>0</v>
      </c>
    </row>
    <row r="953" spans="1:53" ht="50.1" customHeight="1" x14ac:dyDescent="0.25">
      <c r="A953" s="17">
        <f t="shared" si="58"/>
        <v>939</v>
      </c>
      <c r="B953" s="228"/>
      <c r="C953" s="221"/>
      <c r="D953" s="88"/>
      <c r="E953" s="100"/>
      <c r="F953" s="95"/>
      <c r="G953" s="114"/>
      <c r="H953" s="96"/>
      <c r="I953" s="97"/>
      <c r="J953" s="98"/>
      <c r="K953" s="101"/>
      <c r="L953" s="124"/>
      <c r="M953" s="333"/>
      <c r="N953" s="341"/>
      <c r="O953" s="82"/>
      <c r="P953" s="93"/>
      <c r="Q953" s="82"/>
      <c r="R953" s="93"/>
      <c r="S953" s="298"/>
      <c r="T953" s="304"/>
      <c r="U953" s="307"/>
      <c r="V953" s="309"/>
      <c r="W953" s="248"/>
      <c r="X953" s="342"/>
      <c r="Y953" s="336"/>
      <c r="Z953" s="123"/>
      <c r="AA953" s="33"/>
      <c r="AB953" s="123"/>
      <c r="AC953" s="33"/>
      <c r="AD953" s="123"/>
      <c r="AE953" s="33"/>
      <c r="AF953" s="123"/>
      <c r="AG953" s="243"/>
      <c r="AH953" s="33"/>
      <c r="AI953" s="245"/>
      <c r="AJ953" s="125"/>
      <c r="AK953" s="91"/>
      <c r="AL953" s="126"/>
      <c r="AM953" s="91"/>
      <c r="AN953" s="91"/>
      <c r="AO953" s="197">
        <f t="shared" si="59"/>
        <v>0</v>
      </c>
      <c r="AP953" s="126"/>
      <c r="AQ953" s="216"/>
      <c r="AR953" s="127"/>
      <c r="AS953" s="269"/>
      <c r="AT953" s="94"/>
      <c r="AU953" s="84"/>
      <c r="AV953" s="80"/>
      <c r="AW953" s="81"/>
      <c r="AX953" s="77"/>
      <c r="AY953" s="107"/>
      <c r="AZ953" s="220">
        <f t="shared" si="56"/>
        <v>0</v>
      </c>
      <c r="BA953" s="220">
        <f t="shared" si="57"/>
        <v>0</v>
      </c>
    </row>
    <row r="954" spans="1:53" ht="50.1" customHeight="1" x14ac:dyDescent="0.25">
      <c r="A954" s="17">
        <f t="shared" si="58"/>
        <v>940</v>
      </c>
      <c r="B954" s="229"/>
      <c r="C954" s="222"/>
      <c r="D954" s="112"/>
      <c r="E954" s="128"/>
      <c r="F954" s="129"/>
      <c r="G954" s="130"/>
      <c r="H954" s="131"/>
      <c r="I954" s="132"/>
      <c r="J954" s="108"/>
      <c r="K954" s="133"/>
      <c r="L954" s="134"/>
      <c r="M954" s="334"/>
      <c r="N954" s="343"/>
      <c r="O954" s="135"/>
      <c r="P954" s="82"/>
      <c r="Q954" s="135"/>
      <c r="R954" s="82"/>
      <c r="S954" s="299"/>
      <c r="T954" s="305"/>
      <c r="U954" s="298"/>
      <c r="V954" s="304"/>
      <c r="W954" s="249"/>
      <c r="X954" s="344"/>
      <c r="Y954" s="337"/>
      <c r="Z954" s="33"/>
      <c r="AA954" s="83"/>
      <c r="AB954" s="33"/>
      <c r="AC954" s="83"/>
      <c r="AD954" s="33"/>
      <c r="AE954" s="83"/>
      <c r="AF954" s="33"/>
      <c r="AG954" s="244"/>
      <c r="AH954" s="83"/>
      <c r="AI954" s="246"/>
      <c r="AJ954" s="102"/>
      <c r="AK954" s="92"/>
      <c r="AL954" s="91"/>
      <c r="AM954" s="92"/>
      <c r="AN954" s="351"/>
      <c r="AO954" s="197">
        <f t="shared" si="59"/>
        <v>0</v>
      </c>
      <c r="AP954" s="91"/>
      <c r="AQ954" s="217"/>
      <c r="AR954" s="103"/>
      <c r="AS954" s="264"/>
      <c r="AT954" s="94"/>
      <c r="AU954" s="84"/>
      <c r="AV954" s="136"/>
      <c r="AW954" s="77"/>
      <c r="AX954" s="137"/>
      <c r="AY954" s="138"/>
      <c r="AZ954" s="220">
        <f t="shared" si="56"/>
        <v>0</v>
      </c>
      <c r="BA954" s="220">
        <f t="shared" si="57"/>
        <v>0</v>
      </c>
    </row>
    <row r="955" spans="1:53" ht="50.1" customHeight="1" x14ac:dyDescent="0.25">
      <c r="A955" s="17">
        <f t="shared" si="58"/>
        <v>941</v>
      </c>
      <c r="B955" s="228"/>
      <c r="C955" s="221"/>
      <c r="D955" s="88"/>
      <c r="E955" s="100"/>
      <c r="F955" s="95"/>
      <c r="G955" s="114"/>
      <c r="H955" s="96"/>
      <c r="I955" s="97"/>
      <c r="J955" s="98"/>
      <c r="K955" s="101"/>
      <c r="L955" s="124"/>
      <c r="M955" s="333"/>
      <c r="N955" s="341"/>
      <c r="O955" s="82"/>
      <c r="P955" s="93"/>
      <c r="Q955" s="82"/>
      <c r="R955" s="93"/>
      <c r="S955" s="298"/>
      <c r="T955" s="304"/>
      <c r="U955" s="307"/>
      <c r="V955" s="309"/>
      <c r="W955" s="248"/>
      <c r="X955" s="342"/>
      <c r="Y955" s="336"/>
      <c r="Z955" s="123"/>
      <c r="AA955" s="33"/>
      <c r="AB955" s="123"/>
      <c r="AC955" s="33"/>
      <c r="AD955" s="123"/>
      <c r="AE955" s="33"/>
      <c r="AF955" s="123"/>
      <c r="AG955" s="243"/>
      <c r="AH955" s="33"/>
      <c r="AI955" s="245"/>
      <c r="AJ955" s="125"/>
      <c r="AK955" s="91"/>
      <c r="AL955" s="126"/>
      <c r="AM955" s="91"/>
      <c r="AN955" s="91"/>
      <c r="AO955" s="197">
        <f t="shared" si="59"/>
        <v>0</v>
      </c>
      <c r="AP955" s="126"/>
      <c r="AQ955" s="216"/>
      <c r="AR955" s="127"/>
      <c r="AS955" s="269"/>
      <c r="AT955" s="94"/>
      <c r="AU955" s="84"/>
      <c r="AV955" s="80"/>
      <c r="AW955" s="81"/>
      <c r="AX955" s="77"/>
      <c r="AY955" s="107"/>
      <c r="AZ955" s="220">
        <f t="shared" si="56"/>
        <v>0</v>
      </c>
      <c r="BA955" s="220">
        <f t="shared" si="57"/>
        <v>0</v>
      </c>
    </row>
    <row r="956" spans="1:53" ht="50.1" customHeight="1" x14ac:dyDescent="0.25">
      <c r="A956" s="17">
        <f t="shared" si="58"/>
        <v>942</v>
      </c>
      <c r="B956" s="229"/>
      <c r="C956" s="222"/>
      <c r="D956" s="112"/>
      <c r="E956" s="128"/>
      <c r="F956" s="129"/>
      <c r="G956" s="130"/>
      <c r="H956" s="131"/>
      <c r="I956" s="132"/>
      <c r="J956" s="108"/>
      <c r="K956" s="133"/>
      <c r="L956" s="134"/>
      <c r="M956" s="334"/>
      <c r="N956" s="343"/>
      <c r="O956" s="135"/>
      <c r="P956" s="82"/>
      <c r="Q956" s="135"/>
      <c r="R956" s="82"/>
      <c r="S956" s="299"/>
      <c r="T956" s="305"/>
      <c r="U956" s="298"/>
      <c r="V956" s="304"/>
      <c r="W956" s="249"/>
      <c r="X956" s="344"/>
      <c r="Y956" s="337"/>
      <c r="Z956" s="33"/>
      <c r="AA956" s="83"/>
      <c r="AB956" s="33"/>
      <c r="AC956" s="83"/>
      <c r="AD956" s="33"/>
      <c r="AE956" s="83"/>
      <c r="AF956" s="33"/>
      <c r="AG956" s="244"/>
      <c r="AH956" s="83"/>
      <c r="AI956" s="246"/>
      <c r="AJ956" s="102"/>
      <c r="AK956" s="92"/>
      <c r="AL956" s="91"/>
      <c r="AM956" s="92"/>
      <c r="AN956" s="351"/>
      <c r="AO956" s="197">
        <f t="shared" si="59"/>
        <v>0</v>
      </c>
      <c r="AP956" s="91"/>
      <c r="AQ956" s="217"/>
      <c r="AR956" s="103"/>
      <c r="AS956" s="264"/>
      <c r="AT956" s="94"/>
      <c r="AU956" s="84"/>
      <c r="AV956" s="136"/>
      <c r="AW956" s="77"/>
      <c r="AX956" s="137"/>
      <c r="AY956" s="138"/>
      <c r="AZ956" s="220">
        <f t="shared" si="56"/>
        <v>0</v>
      </c>
      <c r="BA956" s="220">
        <f t="shared" si="57"/>
        <v>0</v>
      </c>
    </row>
    <row r="957" spans="1:53" ht="50.1" customHeight="1" x14ac:dyDescent="0.25">
      <c r="A957" s="17">
        <f t="shared" si="58"/>
        <v>943</v>
      </c>
      <c r="B957" s="228"/>
      <c r="C957" s="221"/>
      <c r="D957" s="88"/>
      <c r="E957" s="100"/>
      <c r="F957" s="95"/>
      <c r="G957" s="114"/>
      <c r="H957" s="96"/>
      <c r="I957" s="97"/>
      <c r="J957" s="98"/>
      <c r="K957" s="101"/>
      <c r="L957" s="124"/>
      <c r="M957" s="333"/>
      <c r="N957" s="341"/>
      <c r="O957" s="82"/>
      <c r="P957" s="93"/>
      <c r="Q957" s="82"/>
      <c r="R957" s="93"/>
      <c r="S957" s="298"/>
      <c r="T957" s="304"/>
      <c r="U957" s="307"/>
      <c r="V957" s="309"/>
      <c r="W957" s="248"/>
      <c r="X957" s="342"/>
      <c r="Y957" s="336"/>
      <c r="Z957" s="123"/>
      <c r="AA957" s="33"/>
      <c r="AB957" s="123"/>
      <c r="AC957" s="33"/>
      <c r="AD957" s="123"/>
      <c r="AE957" s="33"/>
      <c r="AF957" s="123"/>
      <c r="AG957" s="243"/>
      <c r="AH957" s="33"/>
      <c r="AI957" s="245"/>
      <c r="AJ957" s="125"/>
      <c r="AK957" s="91"/>
      <c r="AL957" s="126"/>
      <c r="AM957" s="91"/>
      <c r="AN957" s="91"/>
      <c r="AO957" s="197">
        <f t="shared" si="59"/>
        <v>0</v>
      </c>
      <c r="AP957" s="126"/>
      <c r="AQ957" s="216"/>
      <c r="AR957" s="127"/>
      <c r="AS957" s="269"/>
      <c r="AT957" s="94"/>
      <c r="AU957" s="84"/>
      <c r="AV957" s="80"/>
      <c r="AW957" s="81"/>
      <c r="AX957" s="77"/>
      <c r="AY957" s="107"/>
      <c r="AZ957" s="220">
        <f t="shared" si="56"/>
        <v>0</v>
      </c>
      <c r="BA957" s="220">
        <f t="shared" si="57"/>
        <v>0</v>
      </c>
    </row>
    <row r="958" spans="1:53" ht="50.1" customHeight="1" x14ac:dyDescent="0.25">
      <c r="A958" s="17">
        <f t="shared" si="58"/>
        <v>944</v>
      </c>
      <c r="B958" s="229"/>
      <c r="C958" s="222"/>
      <c r="D958" s="112"/>
      <c r="E958" s="128"/>
      <c r="F958" s="129"/>
      <c r="G958" s="130"/>
      <c r="H958" s="131"/>
      <c r="I958" s="132"/>
      <c r="J958" s="108"/>
      <c r="K958" s="133"/>
      <c r="L958" s="134"/>
      <c r="M958" s="334"/>
      <c r="N958" s="343"/>
      <c r="O958" s="135"/>
      <c r="P958" s="82"/>
      <c r="Q958" s="135"/>
      <c r="R958" s="82"/>
      <c r="S958" s="299"/>
      <c r="T958" s="305"/>
      <c r="U958" s="298"/>
      <c r="V958" s="304"/>
      <c r="W958" s="249"/>
      <c r="X958" s="344"/>
      <c r="Y958" s="337"/>
      <c r="Z958" s="33"/>
      <c r="AA958" s="83"/>
      <c r="AB958" s="33"/>
      <c r="AC958" s="83"/>
      <c r="AD958" s="33"/>
      <c r="AE958" s="83"/>
      <c r="AF958" s="33"/>
      <c r="AG958" s="244"/>
      <c r="AH958" s="83"/>
      <c r="AI958" s="246"/>
      <c r="AJ958" s="102"/>
      <c r="AK958" s="92"/>
      <c r="AL958" s="91"/>
      <c r="AM958" s="92"/>
      <c r="AN958" s="351"/>
      <c r="AO958" s="197">
        <f t="shared" si="59"/>
        <v>0</v>
      </c>
      <c r="AP958" s="91"/>
      <c r="AQ958" s="217"/>
      <c r="AR958" s="103"/>
      <c r="AS958" s="264"/>
      <c r="AT958" s="94"/>
      <c r="AU958" s="84"/>
      <c r="AV958" s="136"/>
      <c r="AW958" s="77"/>
      <c r="AX958" s="137"/>
      <c r="AY958" s="138"/>
      <c r="AZ958" s="220">
        <f t="shared" si="56"/>
        <v>0</v>
      </c>
      <c r="BA958" s="220">
        <f t="shared" si="57"/>
        <v>0</v>
      </c>
    </row>
    <row r="959" spans="1:53" ht="50.1" customHeight="1" x14ac:dyDescent="0.25">
      <c r="A959" s="17">
        <f t="shared" si="58"/>
        <v>945</v>
      </c>
      <c r="B959" s="228"/>
      <c r="C959" s="221"/>
      <c r="D959" s="88"/>
      <c r="E959" s="100"/>
      <c r="F959" s="95"/>
      <c r="G959" s="114"/>
      <c r="H959" s="96"/>
      <c r="I959" s="97"/>
      <c r="J959" s="98"/>
      <c r="K959" s="101"/>
      <c r="L959" s="124"/>
      <c r="M959" s="333"/>
      <c r="N959" s="341"/>
      <c r="O959" s="82"/>
      <c r="P959" s="93"/>
      <c r="Q959" s="82"/>
      <c r="R959" s="93"/>
      <c r="S959" s="298"/>
      <c r="T959" s="304"/>
      <c r="U959" s="307"/>
      <c r="V959" s="309"/>
      <c r="W959" s="248"/>
      <c r="X959" s="342"/>
      <c r="Y959" s="336"/>
      <c r="Z959" s="123"/>
      <c r="AA959" s="33"/>
      <c r="AB959" s="123"/>
      <c r="AC959" s="33"/>
      <c r="AD959" s="123"/>
      <c r="AE959" s="33"/>
      <c r="AF959" s="123"/>
      <c r="AG959" s="243"/>
      <c r="AH959" s="33"/>
      <c r="AI959" s="245"/>
      <c r="AJ959" s="125"/>
      <c r="AK959" s="91"/>
      <c r="AL959" s="126"/>
      <c r="AM959" s="91"/>
      <c r="AN959" s="91"/>
      <c r="AO959" s="197">
        <f t="shared" si="59"/>
        <v>0</v>
      </c>
      <c r="AP959" s="126"/>
      <c r="AQ959" s="216"/>
      <c r="AR959" s="127"/>
      <c r="AS959" s="269"/>
      <c r="AT959" s="94"/>
      <c r="AU959" s="84"/>
      <c r="AV959" s="80"/>
      <c r="AW959" s="81"/>
      <c r="AX959" s="77"/>
      <c r="AY959" s="107"/>
      <c r="AZ959" s="220">
        <f t="shared" si="56"/>
        <v>0</v>
      </c>
      <c r="BA959" s="220">
        <f t="shared" si="57"/>
        <v>0</v>
      </c>
    </row>
    <row r="960" spans="1:53" ht="50.1" customHeight="1" x14ac:dyDescent="0.25">
      <c r="A960" s="17">
        <f t="shared" si="58"/>
        <v>946</v>
      </c>
      <c r="B960" s="229"/>
      <c r="C960" s="222"/>
      <c r="D960" s="112"/>
      <c r="E960" s="128"/>
      <c r="F960" s="129"/>
      <c r="G960" s="130"/>
      <c r="H960" s="131"/>
      <c r="I960" s="132"/>
      <c r="J960" s="108"/>
      <c r="K960" s="133"/>
      <c r="L960" s="134"/>
      <c r="M960" s="334"/>
      <c r="N960" s="343"/>
      <c r="O960" s="135"/>
      <c r="P960" s="82"/>
      <c r="Q960" s="135"/>
      <c r="R960" s="82"/>
      <c r="S960" s="299"/>
      <c r="T960" s="305"/>
      <c r="U960" s="298"/>
      <c r="V960" s="304"/>
      <c r="W960" s="249"/>
      <c r="X960" s="344"/>
      <c r="Y960" s="337"/>
      <c r="Z960" s="33"/>
      <c r="AA960" s="83"/>
      <c r="AB960" s="33"/>
      <c r="AC960" s="83"/>
      <c r="AD960" s="33"/>
      <c r="AE960" s="83"/>
      <c r="AF960" s="33"/>
      <c r="AG960" s="244"/>
      <c r="AH960" s="83"/>
      <c r="AI960" s="246"/>
      <c r="AJ960" s="102"/>
      <c r="AK960" s="92"/>
      <c r="AL960" s="91"/>
      <c r="AM960" s="92"/>
      <c r="AN960" s="351"/>
      <c r="AO960" s="197">
        <f t="shared" si="59"/>
        <v>0</v>
      </c>
      <c r="AP960" s="91"/>
      <c r="AQ960" s="217"/>
      <c r="AR960" s="103"/>
      <c r="AS960" s="264"/>
      <c r="AT960" s="94"/>
      <c r="AU960" s="84"/>
      <c r="AV960" s="136"/>
      <c r="AW960" s="77"/>
      <c r="AX960" s="137"/>
      <c r="AY960" s="138"/>
      <c r="AZ960" s="220">
        <f t="shared" si="56"/>
        <v>0</v>
      </c>
      <c r="BA960" s="220">
        <f t="shared" si="57"/>
        <v>0</v>
      </c>
    </row>
    <row r="961" spans="1:53" ht="50.1" customHeight="1" x14ac:dyDescent="0.25">
      <c r="A961" s="17">
        <f t="shared" si="58"/>
        <v>947</v>
      </c>
      <c r="B961" s="228"/>
      <c r="C961" s="221"/>
      <c r="D961" s="88"/>
      <c r="E961" s="100"/>
      <c r="F961" s="95"/>
      <c r="G961" s="114"/>
      <c r="H961" s="96"/>
      <c r="I961" s="97"/>
      <c r="J961" s="98"/>
      <c r="K961" s="101"/>
      <c r="L961" s="124"/>
      <c r="M961" s="333"/>
      <c r="N961" s="341"/>
      <c r="O961" s="82"/>
      <c r="P961" s="93"/>
      <c r="Q961" s="82"/>
      <c r="R961" s="93"/>
      <c r="S961" s="298"/>
      <c r="T961" s="304"/>
      <c r="U961" s="307"/>
      <c r="V961" s="309"/>
      <c r="W961" s="248"/>
      <c r="X961" s="342"/>
      <c r="Y961" s="336"/>
      <c r="Z961" s="123"/>
      <c r="AA961" s="33"/>
      <c r="AB961" s="123"/>
      <c r="AC961" s="33"/>
      <c r="AD961" s="123"/>
      <c r="AE961" s="33"/>
      <c r="AF961" s="123"/>
      <c r="AG961" s="243"/>
      <c r="AH961" s="33"/>
      <c r="AI961" s="245"/>
      <c r="AJ961" s="125"/>
      <c r="AK961" s="91"/>
      <c r="AL961" s="126"/>
      <c r="AM961" s="91"/>
      <c r="AN961" s="91"/>
      <c r="AO961" s="197">
        <f t="shared" si="59"/>
        <v>0</v>
      </c>
      <c r="AP961" s="126"/>
      <c r="AQ961" s="216"/>
      <c r="AR961" s="127"/>
      <c r="AS961" s="269"/>
      <c r="AT961" s="94"/>
      <c r="AU961" s="84"/>
      <c r="AV961" s="80"/>
      <c r="AW961" s="81"/>
      <c r="AX961" s="77"/>
      <c r="AY961" s="107"/>
      <c r="AZ961" s="220">
        <f t="shared" si="56"/>
        <v>0</v>
      </c>
      <c r="BA961" s="220">
        <f t="shared" si="57"/>
        <v>0</v>
      </c>
    </row>
    <row r="962" spans="1:53" ht="50.1" customHeight="1" x14ac:dyDescent="0.25">
      <c r="A962" s="17">
        <f t="shared" si="58"/>
        <v>948</v>
      </c>
      <c r="B962" s="229"/>
      <c r="C962" s="222"/>
      <c r="D962" s="112"/>
      <c r="E962" s="128"/>
      <c r="F962" s="129"/>
      <c r="G962" s="130"/>
      <c r="H962" s="131"/>
      <c r="I962" s="132"/>
      <c r="J962" s="108"/>
      <c r="K962" s="133"/>
      <c r="L962" s="134"/>
      <c r="M962" s="334"/>
      <c r="N962" s="343"/>
      <c r="O962" s="135"/>
      <c r="P962" s="82"/>
      <c r="Q962" s="135"/>
      <c r="R962" s="82"/>
      <c r="S962" s="299"/>
      <c r="T962" s="305"/>
      <c r="U962" s="298"/>
      <c r="V962" s="304"/>
      <c r="W962" s="249"/>
      <c r="X962" s="344"/>
      <c r="Y962" s="337"/>
      <c r="Z962" s="33"/>
      <c r="AA962" s="83"/>
      <c r="AB962" s="33"/>
      <c r="AC962" s="83"/>
      <c r="AD962" s="33"/>
      <c r="AE962" s="83"/>
      <c r="AF962" s="33"/>
      <c r="AG962" s="244"/>
      <c r="AH962" s="83"/>
      <c r="AI962" s="246"/>
      <c r="AJ962" s="102"/>
      <c r="AK962" s="92"/>
      <c r="AL962" s="91"/>
      <c r="AM962" s="92"/>
      <c r="AN962" s="351"/>
      <c r="AO962" s="197">
        <f t="shared" si="59"/>
        <v>0</v>
      </c>
      <c r="AP962" s="91"/>
      <c r="AQ962" s="217"/>
      <c r="AR962" s="103"/>
      <c r="AS962" s="264"/>
      <c r="AT962" s="94"/>
      <c r="AU962" s="84"/>
      <c r="AV962" s="136"/>
      <c r="AW962" s="77"/>
      <c r="AX962" s="137"/>
      <c r="AY962" s="138"/>
      <c r="AZ962" s="220">
        <f t="shared" si="56"/>
        <v>0</v>
      </c>
      <c r="BA962" s="220">
        <f t="shared" si="57"/>
        <v>0</v>
      </c>
    </row>
    <row r="963" spans="1:53" ht="50.1" customHeight="1" x14ac:dyDescent="0.25">
      <c r="A963" s="17">
        <f t="shared" si="58"/>
        <v>949</v>
      </c>
      <c r="B963" s="228"/>
      <c r="C963" s="221"/>
      <c r="D963" s="88"/>
      <c r="E963" s="100"/>
      <c r="F963" s="95"/>
      <c r="G963" s="114"/>
      <c r="H963" s="96"/>
      <c r="I963" s="97"/>
      <c r="J963" s="98"/>
      <c r="K963" s="101"/>
      <c r="L963" s="124"/>
      <c r="M963" s="333"/>
      <c r="N963" s="341"/>
      <c r="O963" s="82"/>
      <c r="P963" s="93"/>
      <c r="Q963" s="82"/>
      <c r="R963" s="93"/>
      <c r="S963" s="298"/>
      <c r="T963" s="304"/>
      <c r="U963" s="307"/>
      <c r="V963" s="309"/>
      <c r="W963" s="248"/>
      <c r="X963" s="342"/>
      <c r="Y963" s="336"/>
      <c r="Z963" s="123"/>
      <c r="AA963" s="33"/>
      <c r="AB963" s="123"/>
      <c r="AC963" s="33"/>
      <c r="AD963" s="123"/>
      <c r="AE963" s="33"/>
      <c r="AF963" s="123"/>
      <c r="AG963" s="243"/>
      <c r="AH963" s="33"/>
      <c r="AI963" s="245"/>
      <c r="AJ963" s="125"/>
      <c r="AK963" s="91"/>
      <c r="AL963" s="126"/>
      <c r="AM963" s="91"/>
      <c r="AN963" s="91"/>
      <c r="AO963" s="197">
        <f t="shared" si="59"/>
        <v>0</v>
      </c>
      <c r="AP963" s="126"/>
      <c r="AQ963" s="216"/>
      <c r="AR963" s="127"/>
      <c r="AS963" s="269"/>
      <c r="AT963" s="94"/>
      <c r="AU963" s="84"/>
      <c r="AV963" s="80"/>
      <c r="AW963" s="81"/>
      <c r="AX963" s="77"/>
      <c r="AY963" s="107"/>
      <c r="AZ963" s="220">
        <f t="shared" si="56"/>
        <v>0</v>
      </c>
      <c r="BA963" s="220">
        <f t="shared" si="57"/>
        <v>0</v>
      </c>
    </row>
    <row r="964" spans="1:53" ht="50.1" customHeight="1" x14ac:dyDescent="0.25">
      <c r="A964" s="17">
        <f t="shared" si="58"/>
        <v>950</v>
      </c>
      <c r="B964" s="229"/>
      <c r="C964" s="222"/>
      <c r="D964" s="112"/>
      <c r="E964" s="128"/>
      <c r="F964" s="129"/>
      <c r="G964" s="130"/>
      <c r="H964" s="131"/>
      <c r="I964" s="132"/>
      <c r="J964" s="108"/>
      <c r="K964" s="133"/>
      <c r="L964" s="134"/>
      <c r="M964" s="334"/>
      <c r="N964" s="343"/>
      <c r="O964" s="135"/>
      <c r="P964" s="82"/>
      <c r="Q964" s="135"/>
      <c r="R964" s="82"/>
      <c r="S964" s="299"/>
      <c r="T964" s="305"/>
      <c r="U964" s="298"/>
      <c r="V964" s="304"/>
      <c r="W964" s="249"/>
      <c r="X964" s="344"/>
      <c r="Y964" s="337"/>
      <c r="Z964" s="33"/>
      <c r="AA964" s="83"/>
      <c r="AB964" s="33"/>
      <c r="AC964" s="83"/>
      <c r="AD964" s="33"/>
      <c r="AE964" s="83"/>
      <c r="AF964" s="33"/>
      <c r="AG964" s="244"/>
      <c r="AH964" s="83"/>
      <c r="AI964" s="246"/>
      <c r="AJ964" s="102"/>
      <c r="AK964" s="92"/>
      <c r="AL964" s="91"/>
      <c r="AM964" s="92"/>
      <c r="AN964" s="351"/>
      <c r="AO964" s="197">
        <f t="shared" si="59"/>
        <v>0</v>
      </c>
      <c r="AP964" s="91"/>
      <c r="AQ964" s="217"/>
      <c r="AR964" s="103"/>
      <c r="AS964" s="264"/>
      <c r="AT964" s="94"/>
      <c r="AU964" s="84"/>
      <c r="AV964" s="136"/>
      <c r="AW964" s="77"/>
      <c r="AX964" s="137"/>
      <c r="AY964" s="138"/>
      <c r="AZ964" s="220">
        <f t="shared" si="56"/>
        <v>0</v>
      </c>
      <c r="BA964" s="220">
        <f t="shared" si="57"/>
        <v>0</v>
      </c>
    </row>
    <row r="965" spans="1:53" ht="50.1" customHeight="1" x14ac:dyDescent="0.25">
      <c r="A965" s="17">
        <f t="shared" si="58"/>
        <v>951</v>
      </c>
      <c r="B965" s="228"/>
      <c r="C965" s="221"/>
      <c r="D965" s="88"/>
      <c r="E965" s="100"/>
      <c r="F965" s="95"/>
      <c r="G965" s="114"/>
      <c r="H965" s="96"/>
      <c r="I965" s="97"/>
      <c r="J965" s="98"/>
      <c r="K965" s="101"/>
      <c r="L965" s="124"/>
      <c r="M965" s="333"/>
      <c r="N965" s="341"/>
      <c r="O965" s="82"/>
      <c r="P965" s="93"/>
      <c r="Q965" s="82"/>
      <c r="R965" s="93"/>
      <c r="S965" s="298"/>
      <c r="T965" s="304"/>
      <c r="U965" s="307"/>
      <c r="V965" s="309"/>
      <c r="W965" s="248"/>
      <c r="X965" s="342"/>
      <c r="Y965" s="336"/>
      <c r="Z965" s="123"/>
      <c r="AA965" s="33"/>
      <c r="AB965" s="123"/>
      <c r="AC965" s="33"/>
      <c r="AD965" s="123"/>
      <c r="AE965" s="33"/>
      <c r="AF965" s="123"/>
      <c r="AG965" s="243"/>
      <c r="AH965" s="33"/>
      <c r="AI965" s="245"/>
      <c r="AJ965" s="125"/>
      <c r="AK965" s="91"/>
      <c r="AL965" s="126"/>
      <c r="AM965" s="91"/>
      <c r="AN965" s="91"/>
      <c r="AO965" s="197">
        <f t="shared" si="59"/>
        <v>0</v>
      </c>
      <c r="AP965" s="126"/>
      <c r="AQ965" s="216"/>
      <c r="AR965" s="127"/>
      <c r="AS965" s="269"/>
      <c r="AT965" s="94"/>
      <c r="AU965" s="84"/>
      <c r="AV965" s="80"/>
      <c r="AW965" s="81"/>
      <c r="AX965" s="77"/>
      <c r="AY965" s="107"/>
      <c r="AZ965" s="220">
        <f t="shared" si="56"/>
        <v>0</v>
      </c>
      <c r="BA965" s="220">
        <f t="shared" si="57"/>
        <v>0</v>
      </c>
    </row>
    <row r="966" spans="1:53" ht="50.1" customHeight="1" x14ac:dyDescent="0.25">
      <c r="A966" s="17">
        <f t="shared" si="58"/>
        <v>952</v>
      </c>
      <c r="B966" s="229"/>
      <c r="C966" s="222"/>
      <c r="D966" s="112"/>
      <c r="E966" s="128"/>
      <c r="F966" s="129"/>
      <c r="G966" s="130"/>
      <c r="H966" s="131"/>
      <c r="I966" s="132"/>
      <c r="J966" s="108"/>
      <c r="K966" s="133"/>
      <c r="L966" s="134"/>
      <c r="M966" s="334"/>
      <c r="N966" s="343"/>
      <c r="O966" s="135"/>
      <c r="P966" s="82"/>
      <c r="Q966" s="135"/>
      <c r="R966" s="82"/>
      <c r="S966" s="299"/>
      <c r="T966" s="305"/>
      <c r="U966" s="298"/>
      <c r="V966" s="304"/>
      <c r="W966" s="249"/>
      <c r="X966" s="344"/>
      <c r="Y966" s="337"/>
      <c r="Z966" s="33"/>
      <c r="AA966" s="83"/>
      <c r="AB966" s="33"/>
      <c r="AC966" s="83"/>
      <c r="AD966" s="33"/>
      <c r="AE966" s="83"/>
      <c r="AF966" s="33"/>
      <c r="AG966" s="244"/>
      <c r="AH966" s="83"/>
      <c r="AI966" s="246"/>
      <c r="AJ966" s="102"/>
      <c r="AK966" s="92"/>
      <c r="AL966" s="91"/>
      <c r="AM966" s="92"/>
      <c r="AN966" s="351"/>
      <c r="AO966" s="197">
        <f t="shared" si="59"/>
        <v>0</v>
      </c>
      <c r="AP966" s="91"/>
      <c r="AQ966" s="217"/>
      <c r="AR966" s="103"/>
      <c r="AS966" s="264"/>
      <c r="AT966" s="94"/>
      <c r="AU966" s="84"/>
      <c r="AV966" s="136"/>
      <c r="AW966" s="77"/>
      <c r="AX966" s="137"/>
      <c r="AY966" s="138"/>
      <c r="AZ966" s="220">
        <f t="shared" si="56"/>
        <v>0</v>
      </c>
      <c r="BA966" s="220">
        <f t="shared" si="57"/>
        <v>0</v>
      </c>
    </row>
    <row r="967" spans="1:53" ht="50.1" customHeight="1" x14ac:dyDescent="0.25">
      <c r="A967" s="17">
        <f t="shared" si="58"/>
        <v>953</v>
      </c>
      <c r="B967" s="228"/>
      <c r="C967" s="221"/>
      <c r="D967" s="88"/>
      <c r="E967" s="100"/>
      <c r="F967" s="95"/>
      <c r="G967" s="114"/>
      <c r="H967" s="96"/>
      <c r="I967" s="97"/>
      <c r="J967" s="98"/>
      <c r="K967" s="101"/>
      <c r="L967" s="124"/>
      <c r="M967" s="333"/>
      <c r="N967" s="341"/>
      <c r="O967" s="82"/>
      <c r="P967" s="93"/>
      <c r="Q967" s="82"/>
      <c r="R967" s="93"/>
      <c r="S967" s="298"/>
      <c r="T967" s="304"/>
      <c r="U967" s="307"/>
      <c r="V967" s="309"/>
      <c r="W967" s="248"/>
      <c r="X967" s="342"/>
      <c r="Y967" s="336"/>
      <c r="Z967" s="123"/>
      <c r="AA967" s="33"/>
      <c r="AB967" s="123"/>
      <c r="AC967" s="33"/>
      <c r="AD967" s="123"/>
      <c r="AE967" s="33"/>
      <c r="AF967" s="123"/>
      <c r="AG967" s="243"/>
      <c r="AH967" s="33"/>
      <c r="AI967" s="245"/>
      <c r="AJ967" s="125"/>
      <c r="AK967" s="91"/>
      <c r="AL967" s="126"/>
      <c r="AM967" s="91"/>
      <c r="AN967" s="91"/>
      <c r="AO967" s="197">
        <f t="shared" si="59"/>
        <v>0</v>
      </c>
      <c r="AP967" s="126"/>
      <c r="AQ967" s="216"/>
      <c r="AR967" s="127"/>
      <c r="AS967" s="269"/>
      <c r="AT967" s="94"/>
      <c r="AU967" s="84"/>
      <c r="AV967" s="80"/>
      <c r="AW967" s="81"/>
      <c r="AX967" s="77"/>
      <c r="AY967" s="107"/>
      <c r="AZ967" s="220">
        <f t="shared" si="56"/>
        <v>0</v>
      </c>
      <c r="BA967" s="220">
        <f t="shared" si="57"/>
        <v>0</v>
      </c>
    </row>
    <row r="968" spans="1:53" ht="50.1" customHeight="1" x14ac:dyDescent="0.25">
      <c r="A968" s="17">
        <f t="shared" si="58"/>
        <v>954</v>
      </c>
      <c r="B968" s="229"/>
      <c r="C968" s="222"/>
      <c r="D968" s="112"/>
      <c r="E968" s="128"/>
      <c r="F968" s="129"/>
      <c r="G968" s="130"/>
      <c r="H968" s="131"/>
      <c r="I968" s="132"/>
      <c r="J968" s="108"/>
      <c r="K968" s="133"/>
      <c r="L968" s="134"/>
      <c r="M968" s="334"/>
      <c r="N968" s="343"/>
      <c r="O968" s="135"/>
      <c r="P968" s="82"/>
      <c r="Q968" s="135"/>
      <c r="R968" s="82"/>
      <c r="S968" s="299"/>
      <c r="T968" s="305"/>
      <c r="U968" s="298"/>
      <c r="V968" s="304"/>
      <c r="W968" s="249"/>
      <c r="X968" s="344"/>
      <c r="Y968" s="337"/>
      <c r="Z968" s="33"/>
      <c r="AA968" s="83"/>
      <c r="AB968" s="33"/>
      <c r="AC968" s="83"/>
      <c r="AD968" s="33"/>
      <c r="AE968" s="83"/>
      <c r="AF968" s="33"/>
      <c r="AG968" s="244"/>
      <c r="AH968" s="83"/>
      <c r="AI968" s="246"/>
      <c r="AJ968" s="102"/>
      <c r="AK968" s="92"/>
      <c r="AL968" s="91"/>
      <c r="AM968" s="92"/>
      <c r="AN968" s="351"/>
      <c r="AO968" s="197">
        <f t="shared" si="59"/>
        <v>0</v>
      </c>
      <c r="AP968" s="91"/>
      <c r="AQ968" s="217"/>
      <c r="AR968" s="103"/>
      <c r="AS968" s="264"/>
      <c r="AT968" s="94"/>
      <c r="AU968" s="84"/>
      <c r="AV968" s="136"/>
      <c r="AW968" s="77"/>
      <c r="AX968" s="137"/>
      <c r="AY968" s="138"/>
      <c r="AZ968" s="220">
        <f t="shared" si="56"/>
        <v>0</v>
      </c>
      <c r="BA968" s="220">
        <f t="shared" si="57"/>
        <v>0</v>
      </c>
    </row>
    <row r="969" spans="1:53" ht="50.1" customHeight="1" x14ac:dyDescent="0.25">
      <c r="A969" s="17">
        <f t="shared" si="58"/>
        <v>955</v>
      </c>
      <c r="B969" s="228"/>
      <c r="C969" s="221"/>
      <c r="D969" s="88"/>
      <c r="E969" s="100"/>
      <c r="F969" s="95"/>
      <c r="G969" s="114"/>
      <c r="H969" s="96"/>
      <c r="I969" s="97"/>
      <c r="J969" s="98"/>
      <c r="K969" s="101"/>
      <c r="L969" s="124"/>
      <c r="M969" s="333"/>
      <c r="N969" s="341"/>
      <c r="O969" s="82"/>
      <c r="P969" s="93"/>
      <c r="Q969" s="82"/>
      <c r="R969" s="93"/>
      <c r="S969" s="298"/>
      <c r="T969" s="304"/>
      <c r="U969" s="307"/>
      <c r="V969" s="309"/>
      <c r="W969" s="248"/>
      <c r="X969" s="342"/>
      <c r="Y969" s="336"/>
      <c r="Z969" s="123"/>
      <c r="AA969" s="33"/>
      <c r="AB969" s="123"/>
      <c r="AC969" s="33"/>
      <c r="AD969" s="123"/>
      <c r="AE969" s="33"/>
      <c r="AF969" s="123"/>
      <c r="AG969" s="243"/>
      <c r="AH969" s="33"/>
      <c r="AI969" s="245"/>
      <c r="AJ969" s="125"/>
      <c r="AK969" s="91"/>
      <c r="AL969" s="126"/>
      <c r="AM969" s="91"/>
      <c r="AN969" s="91"/>
      <c r="AO969" s="197">
        <f t="shared" si="59"/>
        <v>0</v>
      </c>
      <c r="AP969" s="126"/>
      <c r="AQ969" s="216"/>
      <c r="AR969" s="127"/>
      <c r="AS969" s="269"/>
      <c r="AT969" s="94"/>
      <c r="AU969" s="84"/>
      <c r="AV969" s="80"/>
      <c r="AW969" s="81"/>
      <c r="AX969" s="77"/>
      <c r="AY969" s="107"/>
      <c r="AZ969" s="220">
        <f t="shared" si="56"/>
        <v>0</v>
      </c>
      <c r="BA969" s="220">
        <f t="shared" si="57"/>
        <v>0</v>
      </c>
    </row>
    <row r="970" spans="1:53" ht="50.1" customHeight="1" x14ac:dyDescent="0.25">
      <c r="A970" s="17">
        <f t="shared" si="58"/>
        <v>956</v>
      </c>
      <c r="B970" s="229"/>
      <c r="C970" s="222"/>
      <c r="D970" s="112"/>
      <c r="E970" s="128"/>
      <c r="F970" s="129"/>
      <c r="G970" s="130"/>
      <c r="H970" s="131"/>
      <c r="I970" s="132"/>
      <c r="J970" s="108"/>
      <c r="K970" s="133"/>
      <c r="L970" s="134"/>
      <c r="M970" s="334"/>
      <c r="N970" s="343"/>
      <c r="O970" s="135"/>
      <c r="P970" s="82"/>
      <c r="Q970" s="135"/>
      <c r="R970" s="82"/>
      <c r="S970" s="299"/>
      <c r="T970" s="305"/>
      <c r="U970" s="298"/>
      <c r="V970" s="304"/>
      <c r="W970" s="249"/>
      <c r="X970" s="344"/>
      <c r="Y970" s="337"/>
      <c r="Z970" s="33"/>
      <c r="AA970" s="83"/>
      <c r="AB970" s="33"/>
      <c r="AC970" s="83"/>
      <c r="AD970" s="33"/>
      <c r="AE970" s="83"/>
      <c r="AF970" s="33"/>
      <c r="AG970" s="244"/>
      <c r="AH970" s="83"/>
      <c r="AI970" s="246"/>
      <c r="AJ970" s="102"/>
      <c r="AK970" s="92"/>
      <c r="AL970" s="91"/>
      <c r="AM970" s="92"/>
      <c r="AN970" s="351"/>
      <c r="AO970" s="197">
        <f t="shared" si="59"/>
        <v>0</v>
      </c>
      <c r="AP970" s="91"/>
      <c r="AQ970" s="217"/>
      <c r="AR970" s="103"/>
      <c r="AS970" s="264"/>
      <c r="AT970" s="94"/>
      <c r="AU970" s="84"/>
      <c r="AV970" s="136"/>
      <c r="AW970" s="77"/>
      <c r="AX970" s="137"/>
      <c r="AY970" s="138"/>
      <c r="AZ970" s="220">
        <f t="shared" si="56"/>
        <v>0</v>
      </c>
      <c r="BA970" s="220">
        <f t="shared" si="57"/>
        <v>0</v>
      </c>
    </row>
    <row r="971" spans="1:53" ht="50.1" customHeight="1" x14ac:dyDescent="0.25">
      <c r="A971" s="17">
        <f t="shared" si="58"/>
        <v>957</v>
      </c>
      <c r="B971" s="228"/>
      <c r="C971" s="221"/>
      <c r="D971" s="88"/>
      <c r="E971" s="100"/>
      <c r="F971" s="95"/>
      <c r="G971" s="114"/>
      <c r="H971" s="96"/>
      <c r="I971" s="97"/>
      <c r="J971" s="98"/>
      <c r="K971" s="101"/>
      <c r="L971" s="124"/>
      <c r="M971" s="333"/>
      <c r="N971" s="341"/>
      <c r="O971" s="82"/>
      <c r="P971" s="93"/>
      <c r="Q971" s="82"/>
      <c r="R971" s="93"/>
      <c r="S971" s="298"/>
      <c r="T971" s="304"/>
      <c r="U971" s="307"/>
      <c r="V971" s="309"/>
      <c r="W971" s="248"/>
      <c r="X971" s="342"/>
      <c r="Y971" s="336"/>
      <c r="Z971" s="123"/>
      <c r="AA971" s="33"/>
      <c r="AB971" s="123"/>
      <c r="AC971" s="33"/>
      <c r="AD971" s="123"/>
      <c r="AE971" s="33"/>
      <c r="AF971" s="123"/>
      <c r="AG971" s="243"/>
      <c r="AH971" s="33"/>
      <c r="AI971" s="245"/>
      <c r="AJ971" s="125"/>
      <c r="AK971" s="91"/>
      <c r="AL971" s="126"/>
      <c r="AM971" s="91"/>
      <c r="AN971" s="91"/>
      <c r="AO971" s="197">
        <f t="shared" si="59"/>
        <v>0</v>
      </c>
      <c r="AP971" s="126"/>
      <c r="AQ971" s="216"/>
      <c r="AR971" s="127"/>
      <c r="AS971" s="269"/>
      <c r="AT971" s="94"/>
      <c r="AU971" s="84"/>
      <c r="AV971" s="80"/>
      <c r="AW971" s="81"/>
      <c r="AX971" s="77"/>
      <c r="AY971" s="107"/>
      <c r="AZ971" s="220">
        <f t="shared" si="56"/>
        <v>0</v>
      </c>
      <c r="BA971" s="220">
        <f t="shared" si="57"/>
        <v>0</v>
      </c>
    </row>
    <row r="972" spans="1:53" ht="50.1" customHeight="1" x14ac:dyDescent="0.25">
      <c r="A972" s="17">
        <f t="shared" si="58"/>
        <v>958</v>
      </c>
      <c r="B972" s="229"/>
      <c r="C972" s="222"/>
      <c r="D972" s="112"/>
      <c r="E972" s="128"/>
      <c r="F972" s="129"/>
      <c r="G972" s="130"/>
      <c r="H972" s="131"/>
      <c r="I972" s="132"/>
      <c r="J972" s="108"/>
      <c r="K972" s="133"/>
      <c r="L972" s="134"/>
      <c r="M972" s="334"/>
      <c r="N972" s="343"/>
      <c r="O972" s="135"/>
      <c r="P972" s="82"/>
      <c r="Q972" s="135"/>
      <c r="R972" s="82"/>
      <c r="S972" s="299"/>
      <c r="T972" s="305"/>
      <c r="U972" s="298"/>
      <c r="V972" s="304"/>
      <c r="W972" s="249"/>
      <c r="X972" s="344"/>
      <c r="Y972" s="337"/>
      <c r="Z972" s="33"/>
      <c r="AA972" s="83"/>
      <c r="AB972" s="33"/>
      <c r="AC972" s="83"/>
      <c r="AD972" s="33"/>
      <c r="AE972" s="83"/>
      <c r="AF972" s="33"/>
      <c r="AG972" s="244"/>
      <c r="AH972" s="83"/>
      <c r="AI972" s="246"/>
      <c r="AJ972" s="102"/>
      <c r="AK972" s="92"/>
      <c r="AL972" s="91"/>
      <c r="AM972" s="92"/>
      <c r="AN972" s="351"/>
      <c r="AO972" s="197">
        <f t="shared" si="59"/>
        <v>0</v>
      </c>
      <c r="AP972" s="91"/>
      <c r="AQ972" s="217"/>
      <c r="AR972" s="103"/>
      <c r="AS972" s="264"/>
      <c r="AT972" s="94"/>
      <c r="AU972" s="84"/>
      <c r="AV972" s="136"/>
      <c r="AW972" s="77"/>
      <c r="AX972" s="137"/>
      <c r="AY972" s="138"/>
      <c r="AZ972" s="220">
        <f t="shared" si="56"/>
        <v>0</v>
      </c>
      <c r="BA972" s="220">
        <f t="shared" si="57"/>
        <v>0</v>
      </c>
    </row>
    <row r="973" spans="1:53" ht="50.1" customHeight="1" x14ac:dyDescent="0.25">
      <c r="A973" s="17">
        <f t="shared" si="58"/>
        <v>959</v>
      </c>
      <c r="B973" s="228"/>
      <c r="C973" s="221"/>
      <c r="D973" s="88"/>
      <c r="E973" s="100"/>
      <c r="F973" s="95"/>
      <c r="G973" s="114"/>
      <c r="H973" s="96"/>
      <c r="I973" s="97"/>
      <c r="J973" s="98"/>
      <c r="K973" s="101"/>
      <c r="L973" s="124"/>
      <c r="M973" s="333"/>
      <c r="N973" s="341"/>
      <c r="O973" s="82"/>
      <c r="P973" s="93"/>
      <c r="Q973" s="82"/>
      <c r="R973" s="93"/>
      <c r="S973" s="298"/>
      <c r="T973" s="304"/>
      <c r="U973" s="307"/>
      <c r="V973" s="309"/>
      <c r="W973" s="248"/>
      <c r="X973" s="342"/>
      <c r="Y973" s="336"/>
      <c r="Z973" s="123"/>
      <c r="AA973" s="33"/>
      <c r="AB973" s="123"/>
      <c r="AC973" s="33"/>
      <c r="AD973" s="123"/>
      <c r="AE973" s="33"/>
      <c r="AF973" s="123"/>
      <c r="AG973" s="243"/>
      <c r="AH973" s="33"/>
      <c r="AI973" s="245"/>
      <c r="AJ973" s="125"/>
      <c r="AK973" s="91"/>
      <c r="AL973" s="126"/>
      <c r="AM973" s="91"/>
      <c r="AN973" s="91"/>
      <c r="AO973" s="197">
        <f t="shared" si="59"/>
        <v>0</v>
      </c>
      <c r="AP973" s="126"/>
      <c r="AQ973" s="216"/>
      <c r="AR973" s="127"/>
      <c r="AS973" s="269"/>
      <c r="AT973" s="94"/>
      <c r="AU973" s="84"/>
      <c r="AV973" s="80"/>
      <c r="AW973" s="81"/>
      <c r="AX973" s="77"/>
      <c r="AY973" s="107"/>
      <c r="AZ973" s="220">
        <f t="shared" si="56"/>
        <v>0</v>
      </c>
      <c r="BA973" s="220">
        <f t="shared" si="57"/>
        <v>0</v>
      </c>
    </row>
    <row r="974" spans="1:53" ht="50.1" customHeight="1" x14ac:dyDescent="0.25">
      <c r="A974" s="17">
        <f t="shared" si="58"/>
        <v>960</v>
      </c>
      <c r="B974" s="229"/>
      <c r="C974" s="222"/>
      <c r="D974" s="112"/>
      <c r="E974" s="128"/>
      <c r="F974" s="129"/>
      <c r="G974" s="130"/>
      <c r="H974" s="131"/>
      <c r="I974" s="132"/>
      <c r="J974" s="108"/>
      <c r="K974" s="133"/>
      <c r="L974" s="134"/>
      <c r="M974" s="334"/>
      <c r="N974" s="343"/>
      <c r="O974" s="135"/>
      <c r="P974" s="82"/>
      <c r="Q974" s="135"/>
      <c r="R974" s="82"/>
      <c r="S974" s="299"/>
      <c r="T974" s="305"/>
      <c r="U974" s="298"/>
      <c r="V974" s="304"/>
      <c r="W974" s="249"/>
      <c r="X974" s="344"/>
      <c r="Y974" s="337"/>
      <c r="Z974" s="33"/>
      <c r="AA974" s="83"/>
      <c r="AB974" s="33"/>
      <c r="AC974" s="83"/>
      <c r="AD974" s="33"/>
      <c r="AE974" s="83"/>
      <c r="AF974" s="33"/>
      <c r="AG974" s="244"/>
      <c r="AH974" s="83"/>
      <c r="AI974" s="246"/>
      <c r="AJ974" s="102"/>
      <c r="AK974" s="92"/>
      <c r="AL974" s="91"/>
      <c r="AM974" s="92"/>
      <c r="AN974" s="351"/>
      <c r="AO974" s="197">
        <f t="shared" si="59"/>
        <v>0</v>
      </c>
      <c r="AP974" s="91"/>
      <c r="AQ974" s="217"/>
      <c r="AR974" s="103"/>
      <c r="AS974" s="264"/>
      <c r="AT974" s="94"/>
      <c r="AU974" s="84"/>
      <c r="AV974" s="136"/>
      <c r="AW974" s="77"/>
      <c r="AX974" s="137"/>
      <c r="AY974" s="138"/>
      <c r="AZ974" s="220">
        <f t="shared" si="56"/>
        <v>0</v>
      </c>
      <c r="BA974" s="220">
        <f t="shared" si="57"/>
        <v>0</v>
      </c>
    </row>
    <row r="975" spans="1:53" ht="50.1" customHeight="1" x14ac:dyDescent="0.25">
      <c r="A975" s="17">
        <f t="shared" si="58"/>
        <v>961</v>
      </c>
      <c r="B975" s="228"/>
      <c r="C975" s="221"/>
      <c r="D975" s="88"/>
      <c r="E975" s="100"/>
      <c r="F975" s="95"/>
      <c r="G975" s="114"/>
      <c r="H975" s="96"/>
      <c r="I975" s="97"/>
      <c r="J975" s="98"/>
      <c r="K975" s="101"/>
      <c r="L975" s="124"/>
      <c r="M975" s="333"/>
      <c r="N975" s="341"/>
      <c r="O975" s="82"/>
      <c r="P975" s="93"/>
      <c r="Q975" s="82"/>
      <c r="R975" s="93"/>
      <c r="S975" s="298"/>
      <c r="T975" s="304"/>
      <c r="U975" s="307"/>
      <c r="V975" s="309"/>
      <c r="W975" s="248"/>
      <c r="X975" s="342"/>
      <c r="Y975" s="336"/>
      <c r="Z975" s="123"/>
      <c r="AA975" s="33"/>
      <c r="AB975" s="123"/>
      <c r="AC975" s="33"/>
      <c r="AD975" s="123"/>
      <c r="AE975" s="33"/>
      <c r="AF975" s="123"/>
      <c r="AG975" s="243"/>
      <c r="AH975" s="33"/>
      <c r="AI975" s="245"/>
      <c r="AJ975" s="125"/>
      <c r="AK975" s="91"/>
      <c r="AL975" s="126"/>
      <c r="AM975" s="91"/>
      <c r="AN975" s="91"/>
      <c r="AO975" s="197">
        <f t="shared" si="59"/>
        <v>0</v>
      </c>
      <c r="AP975" s="126"/>
      <c r="AQ975" s="216"/>
      <c r="AR975" s="127"/>
      <c r="AS975" s="269"/>
      <c r="AT975" s="94"/>
      <c r="AU975" s="84"/>
      <c r="AV975" s="80"/>
      <c r="AW975" s="81"/>
      <c r="AX975" s="77"/>
      <c r="AY975" s="107"/>
      <c r="AZ975" s="220">
        <f t="shared" ref="AZ975:AZ1014" si="60">M975-B975</f>
        <v>0</v>
      </c>
      <c r="BA975" s="220">
        <f t="shared" ref="BA975:BA1014" si="61">AU975-M975</f>
        <v>0</v>
      </c>
    </row>
    <row r="976" spans="1:53" ht="50.1" customHeight="1" x14ac:dyDescent="0.25">
      <c r="A976" s="17">
        <f t="shared" ref="A976:A1014" si="62">ROW(A962)</f>
        <v>962</v>
      </c>
      <c r="B976" s="229"/>
      <c r="C976" s="222"/>
      <c r="D976" s="112"/>
      <c r="E976" s="128"/>
      <c r="F976" s="129"/>
      <c r="G976" s="130"/>
      <c r="H976" s="131"/>
      <c r="I976" s="132"/>
      <c r="J976" s="108"/>
      <c r="K976" s="133"/>
      <c r="L976" s="134"/>
      <c r="M976" s="334"/>
      <c r="N976" s="343"/>
      <c r="O976" s="135"/>
      <c r="P976" s="82"/>
      <c r="Q976" s="135"/>
      <c r="R976" s="82"/>
      <c r="S976" s="299"/>
      <c r="T976" s="305"/>
      <c r="U976" s="298"/>
      <c r="V976" s="304"/>
      <c r="W976" s="249"/>
      <c r="X976" s="344"/>
      <c r="Y976" s="337"/>
      <c r="Z976" s="33"/>
      <c r="AA976" s="83"/>
      <c r="AB976" s="33"/>
      <c r="AC976" s="83"/>
      <c r="AD976" s="33"/>
      <c r="AE976" s="83"/>
      <c r="AF976" s="33"/>
      <c r="AG976" s="244"/>
      <c r="AH976" s="83"/>
      <c r="AI976" s="246"/>
      <c r="AJ976" s="102"/>
      <c r="AK976" s="92"/>
      <c r="AL976" s="91"/>
      <c r="AM976" s="92"/>
      <c r="AN976" s="351"/>
      <c r="AO976" s="197">
        <f t="shared" ref="AO976:AO1014" si="63">AJ976-AK976-AL976-AM976-AN976</f>
        <v>0</v>
      </c>
      <c r="AP976" s="91"/>
      <c r="AQ976" s="217"/>
      <c r="AR976" s="103"/>
      <c r="AS976" s="264"/>
      <c r="AT976" s="94"/>
      <c r="AU976" s="84"/>
      <c r="AV976" s="136"/>
      <c r="AW976" s="77"/>
      <c r="AX976" s="137"/>
      <c r="AY976" s="138"/>
      <c r="AZ976" s="220">
        <f t="shared" si="60"/>
        <v>0</v>
      </c>
      <c r="BA976" s="220">
        <f t="shared" si="61"/>
        <v>0</v>
      </c>
    </row>
    <row r="977" spans="1:53" ht="50.1" customHeight="1" x14ac:dyDescent="0.25">
      <c r="A977" s="17">
        <f t="shared" si="62"/>
        <v>963</v>
      </c>
      <c r="B977" s="228"/>
      <c r="C977" s="221"/>
      <c r="D977" s="88"/>
      <c r="E977" s="100"/>
      <c r="F977" s="95"/>
      <c r="G977" s="114"/>
      <c r="H977" s="96"/>
      <c r="I977" s="97"/>
      <c r="J977" s="98"/>
      <c r="K977" s="101"/>
      <c r="L977" s="124"/>
      <c r="M977" s="333"/>
      <c r="N977" s="341"/>
      <c r="O977" s="82"/>
      <c r="P977" s="93"/>
      <c r="Q977" s="82"/>
      <c r="R977" s="93"/>
      <c r="S977" s="298"/>
      <c r="T977" s="304"/>
      <c r="U977" s="307"/>
      <c r="V977" s="309"/>
      <c r="W977" s="248"/>
      <c r="X977" s="342"/>
      <c r="Y977" s="336"/>
      <c r="Z977" s="123"/>
      <c r="AA977" s="33"/>
      <c r="AB977" s="123"/>
      <c r="AC977" s="33"/>
      <c r="AD977" s="123"/>
      <c r="AE977" s="33"/>
      <c r="AF977" s="123"/>
      <c r="AG977" s="243"/>
      <c r="AH977" s="33"/>
      <c r="AI977" s="245"/>
      <c r="AJ977" s="125"/>
      <c r="AK977" s="91"/>
      <c r="AL977" s="126"/>
      <c r="AM977" s="91"/>
      <c r="AN977" s="91"/>
      <c r="AO977" s="197">
        <f t="shared" si="63"/>
        <v>0</v>
      </c>
      <c r="AP977" s="126"/>
      <c r="AQ977" s="216"/>
      <c r="AR977" s="127"/>
      <c r="AS977" s="269"/>
      <c r="AT977" s="94"/>
      <c r="AU977" s="84"/>
      <c r="AV977" s="80"/>
      <c r="AW977" s="81"/>
      <c r="AX977" s="77"/>
      <c r="AY977" s="107"/>
      <c r="AZ977" s="220">
        <f t="shared" si="60"/>
        <v>0</v>
      </c>
      <c r="BA977" s="220">
        <f t="shared" si="61"/>
        <v>0</v>
      </c>
    </row>
    <row r="978" spans="1:53" ht="50.1" customHeight="1" x14ac:dyDescent="0.25">
      <c r="A978" s="17">
        <f t="shared" si="62"/>
        <v>964</v>
      </c>
      <c r="B978" s="229"/>
      <c r="C978" s="222"/>
      <c r="D978" s="112"/>
      <c r="E978" s="128"/>
      <c r="F978" s="129"/>
      <c r="G978" s="130"/>
      <c r="H978" s="131"/>
      <c r="I978" s="132"/>
      <c r="J978" s="108"/>
      <c r="K978" s="133"/>
      <c r="L978" s="134"/>
      <c r="M978" s="334"/>
      <c r="N978" s="343"/>
      <c r="O978" s="135"/>
      <c r="P978" s="82"/>
      <c r="Q978" s="135"/>
      <c r="R978" s="82"/>
      <c r="S978" s="299"/>
      <c r="T978" s="305"/>
      <c r="U978" s="298"/>
      <c r="V978" s="304"/>
      <c r="W978" s="249"/>
      <c r="X978" s="344"/>
      <c r="Y978" s="337"/>
      <c r="Z978" s="33"/>
      <c r="AA978" s="83"/>
      <c r="AB978" s="33"/>
      <c r="AC978" s="83"/>
      <c r="AD978" s="33"/>
      <c r="AE978" s="83"/>
      <c r="AF978" s="33"/>
      <c r="AG978" s="244"/>
      <c r="AH978" s="83"/>
      <c r="AI978" s="246"/>
      <c r="AJ978" s="102"/>
      <c r="AK978" s="92"/>
      <c r="AL978" s="91"/>
      <c r="AM978" s="92"/>
      <c r="AN978" s="351"/>
      <c r="AO978" s="197">
        <f t="shared" si="63"/>
        <v>0</v>
      </c>
      <c r="AP978" s="91"/>
      <c r="AQ978" s="217"/>
      <c r="AR978" s="103"/>
      <c r="AS978" s="264"/>
      <c r="AT978" s="94"/>
      <c r="AU978" s="84"/>
      <c r="AV978" s="136"/>
      <c r="AW978" s="77"/>
      <c r="AX978" s="137"/>
      <c r="AY978" s="138"/>
      <c r="AZ978" s="220">
        <f t="shared" si="60"/>
        <v>0</v>
      </c>
      <c r="BA978" s="220">
        <f t="shared" si="61"/>
        <v>0</v>
      </c>
    </row>
    <row r="979" spans="1:53" ht="50.1" customHeight="1" x14ac:dyDescent="0.25">
      <c r="A979" s="17">
        <f t="shared" si="62"/>
        <v>965</v>
      </c>
      <c r="B979" s="228"/>
      <c r="C979" s="221"/>
      <c r="D979" s="88"/>
      <c r="E979" s="100"/>
      <c r="F979" s="95"/>
      <c r="G979" s="114"/>
      <c r="H979" s="96"/>
      <c r="I979" s="97"/>
      <c r="J979" s="98"/>
      <c r="K979" s="101"/>
      <c r="L979" s="124"/>
      <c r="M979" s="333"/>
      <c r="N979" s="341"/>
      <c r="O979" s="82"/>
      <c r="P979" s="93"/>
      <c r="Q979" s="82"/>
      <c r="R979" s="93"/>
      <c r="S979" s="298"/>
      <c r="T979" s="304"/>
      <c r="U979" s="307"/>
      <c r="V979" s="309"/>
      <c r="W979" s="248"/>
      <c r="X979" s="342"/>
      <c r="Y979" s="336"/>
      <c r="Z979" s="123"/>
      <c r="AA979" s="33"/>
      <c r="AB979" s="123"/>
      <c r="AC979" s="33"/>
      <c r="AD979" s="123"/>
      <c r="AE979" s="33"/>
      <c r="AF979" s="123"/>
      <c r="AG979" s="243"/>
      <c r="AH979" s="33"/>
      <c r="AI979" s="245"/>
      <c r="AJ979" s="125"/>
      <c r="AK979" s="91"/>
      <c r="AL979" s="126"/>
      <c r="AM979" s="91"/>
      <c r="AN979" s="91"/>
      <c r="AO979" s="197">
        <f t="shared" si="63"/>
        <v>0</v>
      </c>
      <c r="AP979" s="126"/>
      <c r="AQ979" s="216"/>
      <c r="AR979" s="127"/>
      <c r="AS979" s="269"/>
      <c r="AT979" s="94"/>
      <c r="AU979" s="84"/>
      <c r="AV979" s="80"/>
      <c r="AW979" s="81"/>
      <c r="AX979" s="77"/>
      <c r="AY979" s="107"/>
      <c r="AZ979" s="220">
        <f t="shared" si="60"/>
        <v>0</v>
      </c>
      <c r="BA979" s="220">
        <f t="shared" si="61"/>
        <v>0</v>
      </c>
    </row>
    <row r="980" spans="1:53" ht="50.1" customHeight="1" x14ac:dyDescent="0.25">
      <c r="A980" s="17">
        <f t="shared" si="62"/>
        <v>966</v>
      </c>
      <c r="B980" s="229"/>
      <c r="C980" s="222"/>
      <c r="D980" s="112"/>
      <c r="E980" s="128"/>
      <c r="F980" s="129"/>
      <c r="G980" s="130"/>
      <c r="H980" s="131"/>
      <c r="I980" s="132"/>
      <c r="J980" s="108"/>
      <c r="K980" s="133"/>
      <c r="L980" s="134"/>
      <c r="M980" s="334"/>
      <c r="N980" s="343"/>
      <c r="O980" s="135"/>
      <c r="P980" s="82"/>
      <c r="Q980" s="135"/>
      <c r="R980" s="82"/>
      <c r="S980" s="299"/>
      <c r="T980" s="305"/>
      <c r="U980" s="298"/>
      <c r="V980" s="304"/>
      <c r="W980" s="249"/>
      <c r="X980" s="344"/>
      <c r="Y980" s="337"/>
      <c r="Z980" s="33"/>
      <c r="AA980" s="83"/>
      <c r="AB980" s="33"/>
      <c r="AC980" s="83"/>
      <c r="AD980" s="33"/>
      <c r="AE980" s="83"/>
      <c r="AF980" s="33"/>
      <c r="AG980" s="244"/>
      <c r="AH980" s="83"/>
      <c r="AI980" s="246"/>
      <c r="AJ980" s="102"/>
      <c r="AK980" s="92"/>
      <c r="AL980" s="91"/>
      <c r="AM980" s="92"/>
      <c r="AN980" s="351"/>
      <c r="AO980" s="197">
        <f t="shared" si="63"/>
        <v>0</v>
      </c>
      <c r="AP980" s="91"/>
      <c r="AQ980" s="217"/>
      <c r="AR980" s="103"/>
      <c r="AS980" s="264"/>
      <c r="AT980" s="94"/>
      <c r="AU980" s="84"/>
      <c r="AV980" s="136"/>
      <c r="AW980" s="77"/>
      <c r="AX980" s="137"/>
      <c r="AY980" s="138"/>
      <c r="AZ980" s="220">
        <f t="shared" si="60"/>
        <v>0</v>
      </c>
      <c r="BA980" s="220">
        <f t="shared" si="61"/>
        <v>0</v>
      </c>
    </row>
    <row r="981" spans="1:53" ht="50.1" customHeight="1" x14ac:dyDescent="0.25">
      <c r="A981" s="17">
        <f t="shared" si="62"/>
        <v>967</v>
      </c>
      <c r="B981" s="228"/>
      <c r="C981" s="221"/>
      <c r="D981" s="88"/>
      <c r="E981" s="100"/>
      <c r="F981" s="95"/>
      <c r="G981" s="114"/>
      <c r="H981" s="96"/>
      <c r="I981" s="97"/>
      <c r="J981" s="98"/>
      <c r="K981" s="101"/>
      <c r="L981" s="124"/>
      <c r="M981" s="333"/>
      <c r="N981" s="341"/>
      <c r="O981" s="82"/>
      <c r="P981" s="93"/>
      <c r="Q981" s="82"/>
      <c r="R981" s="93"/>
      <c r="S981" s="298"/>
      <c r="T981" s="304"/>
      <c r="U981" s="307"/>
      <c r="V981" s="309"/>
      <c r="W981" s="248"/>
      <c r="X981" s="342"/>
      <c r="Y981" s="336"/>
      <c r="Z981" s="123"/>
      <c r="AA981" s="33"/>
      <c r="AB981" s="123"/>
      <c r="AC981" s="33"/>
      <c r="AD981" s="123"/>
      <c r="AE981" s="33"/>
      <c r="AF981" s="123"/>
      <c r="AG981" s="243"/>
      <c r="AH981" s="33"/>
      <c r="AI981" s="245"/>
      <c r="AJ981" s="125"/>
      <c r="AK981" s="91"/>
      <c r="AL981" s="126"/>
      <c r="AM981" s="91"/>
      <c r="AN981" s="91"/>
      <c r="AO981" s="197">
        <f t="shared" si="63"/>
        <v>0</v>
      </c>
      <c r="AP981" s="126"/>
      <c r="AQ981" s="216"/>
      <c r="AR981" s="127"/>
      <c r="AS981" s="269"/>
      <c r="AT981" s="94"/>
      <c r="AU981" s="84"/>
      <c r="AV981" s="80"/>
      <c r="AW981" s="81"/>
      <c r="AX981" s="77"/>
      <c r="AY981" s="107"/>
      <c r="AZ981" s="220">
        <f t="shared" si="60"/>
        <v>0</v>
      </c>
      <c r="BA981" s="220">
        <f t="shared" si="61"/>
        <v>0</v>
      </c>
    </row>
    <row r="982" spans="1:53" ht="50.1" customHeight="1" x14ac:dyDescent="0.25">
      <c r="A982" s="17">
        <f t="shared" si="62"/>
        <v>968</v>
      </c>
      <c r="B982" s="229"/>
      <c r="C982" s="222"/>
      <c r="D982" s="112"/>
      <c r="E982" s="128"/>
      <c r="F982" s="129"/>
      <c r="G982" s="130"/>
      <c r="H982" s="131"/>
      <c r="I982" s="132"/>
      <c r="J982" s="108"/>
      <c r="K982" s="133"/>
      <c r="L982" s="134"/>
      <c r="M982" s="334"/>
      <c r="N982" s="343"/>
      <c r="O982" s="135"/>
      <c r="P982" s="82"/>
      <c r="Q982" s="135"/>
      <c r="R982" s="82"/>
      <c r="S982" s="299"/>
      <c r="T982" s="305"/>
      <c r="U982" s="298"/>
      <c r="V982" s="304"/>
      <c r="W982" s="249"/>
      <c r="X982" s="344"/>
      <c r="Y982" s="337"/>
      <c r="Z982" s="33"/>
      <c r="AA982" s="83"/>
      <c r="AB982" s="33"/>
      <c r="AC982" s="83"/>
      <c r="AD982" s="33"/>
      <c r="AE982" s="83"/>
      <c r="AF982" s="33"/>
      <c r="AG982" s="244"/>
      <c r="AH982" s="83"/>
      <c r="AI982" s="246"/>
      <c r="AJ982" s="102"/>
      <c r="AK982" s="92"/>
      <c r="AL982" s="91"/>
      <c r="AM982" s="92"/>
      <c r="AN982" s="351"/>
      <c r="AO982" s="197">
        <f t="shared" si="63"/>
        <v>0</v>
      </c>
      <c r="AP982" s="91"/>
      <c r="AQ982" s="217"/>
      <c r="AR982" s="103"/>
      <c r="AS982" s="264"/>
      <c r="AT982" s="94"/>
      <c r="AU982" s="84"/>
      <c r="AV982" s="136"/>
      <c r="AW982" s="77"/>
      <c r="AX982" s="137"/>
      <c r="AY982" s="138"/>
      <c r="AZ982" s="220">
        <f t="shared" si="60"/>
        <v>0</v>
      </c>
      <c r="BA982" s="220">
        <f t="shared" si="61"/>
        <v>0</v>
      </c>
    </row>
    <row r="983" spans="1:53" ht="50.1" customHeight="1" x14ac:dyDescent="0.25">
      <c r="A983" s="17">
        <f t="shared" si="62"/>
        <v>969</v>
      </c>
      <c r="B983" s="228"/>
      <c r="C983" s="221"/>
      <c r="D983" s="88"/>
      <c r="E983" s="100"/>
      <c r="F983" s="95"/>
      <c r="G983" s="114"/>
      <c r="H983" s="96"/>
      <c r="I983" s="97"/>
      <c r="J983" s="98"/>
      <c r="K983" s="101"/>
      <c r="L983" s="124"/>
      <c r="M983" s="333"/>
      <c r="N983" s="341"/>
      <c r="O983" s="82"/>
      <c r="P983" s="93"/>
      <c r="Q983" s="82"/>
      <c r="R983" s="93"/>
      <c r="S983" s="298"/>
      <c r="T983" s="304"/>
      <c r="U983" s="307"/>
      <c r="V983" s="309"/>
      <c r="W983" s="248"/>
      <c r="X983" s="342"/>
      <c r="Y983" s="336"/>
      <c r="Z983" s="123"/>
      <c r="AA983" s="33"/>
      <c r="AB983" s="123"/>
      <c r="AC983" s="33"/>
      <c r="AD983" s="123"/>
      <c r="AE983" s="33"/>
      <c r="AF983" s="123"/>
      <c r="AG983" s="243"/>
      <c r="AH983" s="33"/>
      <c r="AI983" s="245"/>
      <c r="AJ983" s="125"/>
      <c r="AK983" s="91"/>
      <c r="AL983" s="126"/>
      <c r="AM983" s="91"/>
      <c r="AN983" s="91"/>
      <c r="AO983" s="197">
        <f t="shared" si="63"/>
        <v>0</v>
      </c>
      <c r="AP983" s="126"/>
      <c r="AQ983" s="216"/>
      <c r="AR983" s="127"/>
      <c r="AS983" s="269"/>
      <c r="AT983" s="94"/>
      <c r="AU983" s="84"/>
      <c r="AV983" s="80"/>
      <c r="AW983" s="81"/>
      <c r="AX983" s="77"/>
      <c r="AY983" s="107"/>
      <c r="AZ983" s="220">
        <f t="shared" si="60"/>
        <v>0</v>
      </c>
      <c r="BA983" s="220">
        <f t="shared" si="61"/>
        <v>0</v>
      </c>
    </row>
    <row r="984" spans="1:53" ht="50.1" customHeight="1" x14ac:dyDescent="0.25">
      <c r="A984" s="17">
        <f t="shared" si="62"/>
        <v>970</v>
      </c>
      <c r="B984" s="229"/>
      <c r="C984" s="222"/>
      <c r="D984" s="112"/>
      <c r="E984" s="128"/>
      <c r="F984" s="129"/>
      <c r="G984" s="130"/>
      <c r="H984" s="131"/>
      <c r="I984" s="132"/>
      <c r="J984" s="108"/>
      <c r="K984" s="133"/>
      <c r="L984" s="134"/>
      <c r="M984" s="334"/>
      <c r="N984" s="343"/>
      <c r="O984" s="135"/>
      <c r="P984" s="82"/>
      <c r="Q984" s="135"/>
      <c r="R984" s="82"/>
      <c r="S984" s="299"/>
      <c r="T984" s="305"/>
      <c r="U984" s="298"/>
      <c r="V984" s="304"/>
      <c r="W984" s="249"/>
      <c r="X984" s="344"/>
      <c r="Y984" s="337"/>
      <c r="Z984" s="33"/>
      <c r="AA984" s="83"/>
      <c r="AB984" s="33"/>
      <c r="AC984" s="83"/>
      <c r="AD984" s="33"/>
      <c r="AE984" s="83"/>
      <c r="AF984" s="33"/>
      <c r="AG984" s="244"/>
      <c r="AH984" s="83"/>
      <c r="AI984" s="246"/>
      <c r="AJ984" s="102"/>
      <c r="AK984" s="92"/>
      <c r="AL984" s="91"/>
      <c r="AM984" s="92"/>
      <c r="AN984" s="351"/>
      <c r="AO984" s="197">
        <f t="shared" si="63"/>
        <v>0</v>
      </c>
      <c r="AP984" s="91"/>
      <c r="AQ984" s="217"/>
      <c r="AR984" s="103"/>
      <c r="AS984" s="264"/>
      <c r="AT984" s="94"/>
      <c r="AU984" s="84"/>
      <c r="AV984" s="136"/>
      <c r="AW984" s="77"/>
      <c r="AX984" s="137"/>
      <c r="AY984" s="138"/>
      <c r="AZ984" s="220">
        <f t="shared" si="60"/>
        <v>0</v>
      </c>
      <c r="BA984" s="220">
        <f t="shared" si="61"/>
        <v>0</v>
      </c>
    </row>
    <row r="985" spans="1:53" ht="50.1" customHeight="1" x14ac:dyDescent="0.25">
      <c r="A985" s="17">
        <f t="shared" si="62"/>
        <v>971</v>
      </c>
      <c r="B985" s="228"/>
      <c r="C985" s="221"/>
      <c r="D985" s="88"/>
      <c r="E985" s="100"/>
      <c r="F985" s="95"/>
      <c r="G985" s="114"/>
      <c r="H985" s="96"/>
      <c r="I985" s="97"/>
      <c r="J985" s="98"/>
      <c r="K985" s="101"/>
      <c r="L985" s="124"/>
      <c r="M985" s="333"/>
      <c r="N985" s="341"/>
      <c r="O985" s="82"/>
      <c r="P985" s="93"/>
      <c r="Q985" s="82"/>
      <c r="R985" s="93"/>
      <c r="S985" s="298"/>
      <c r="T985" s="304"/>
      <c r="U985" s="307"/>
      <c r="V985" s="309"/>
      <c r="W985" s="248"/>
      <c r="X985" s="342"/>
      <c r="Y985" s="336"/>
      <c r="Z985" s="123"/>
      <c r="AA985" s="33"/>
      <c r="AB985" s="123"/>
      <c r="AC985" s="33"/>
      <c r="AD985" s="123"/>
      <c r="AE985" s="33"/>
      <c r="AF985" s="123"/>
      <c r="AG985" s="243"/>
      <c r="AH985" s="33"/>
      <c r="AI985" s="245"/>
      <c r="AJ985" s="125"/>
      <c r="AK985" s="91"/>
      <c r="AL985" s="126"/>
      <c r="AM985" s="91"/>
      <c r="AN985" s="91"/>
      <c r="AO985" s="197">
        <f t="shared" si="63"/>
        <v>0</v>
      </c>
      <c r="AP985" s="126"/>
      <c r="AQ985" s="216"/>
      <c r="AR985" s="127"/>
      <c r="AS985" s="269"/>
      <c r="AT985" s="94"/>
      <c r="AU985" s="84"/>
      <c r="AV985" s="80"/>
      <c r="AW985" s="81"/>
      <c r="AX985" s="77"/>
      <c r="AY985" s="107"/>
      <c r="AZ985" s="220">
        <f t="shared" si="60"/>
        <v>0</v>
      </c>
      <c r="BA985" s="220">
        <f t="shared" si="61"/>
        <v>0</v>
      </c>
    </row>
    <row r="986" spans="1:53" ht="50.1" customHeight="1" x14ac:dyDescent="0.25">
      <c r="A986" s="17">
        <f t="shared" si="62"/>
        <v>972</v>
      </c>
      <c r="B986" s="229"/>
      <c r="C986" s="222"/>
      <c r="D986" s="112"/>
      <c r="E986" s="128"/>
      <c r="F986" s="129"/>
      <c r="G986" s="130"/>
      <c r="H986" s="131"/>
      <c r="I986" s="132"/>
      <c r="J986" s="108"/>
      <c r="K986" s="133"/>
      <c r="L986" s="134"/>
      <c r="M986" s="334"/>
      <c r="N986" s="343"/>
      <c r="O986" s="135"/>
      <c r="P986" s="82"/>
      <c r="Q986" s="135"/>
      <c r="R986" s="82"/>
      <c r="S986" s="299"/>
      <c r="T986" s="305"/>
      <c r="U986" s="298"/>
      <c r="V986" s="304"/>
      <c r="W986" s="249"/>
      <c r="X986" s="344"/>
      <c r="Y986" s="337"/>
      <c r="Z986" s="33"/>
      <c r="AA986" s="83"/>
      <c r="AB986" s="33"/>
      <c r="AC986" s="83"/>
      <c r="AD986" s="33"/>
      <c r="AE986" s="83"/>
      <c r="AF986" s="33"/>
      <c r="AG986" s="244"/>
      <c r="AH986" s="83"/>
      <c r="AI986" s="246"/>
      <c r="AJ986" s="102"/>
      <c r="AK986" s="92"/>
      <c r="AL986" s="91"/>
      <c r="AM986" s="92"/>
      <c r="AN986" s="351"/>
      <c r="AO986" s="197">
        <f t="shared" si="63"/>
        <v>0</v>
      </c>
      <c r="AP986" s="91"/>
      <c r="AQ986" s="217"/>
      <c r="AR986" s="103"/>
      <c r="AS986" s="264"/>
      <c r="AT986" s="94"/>
      <c r="AU986" s="84"/>
      <c r="AV986" s="136"/>
      <c r="AW986" s="77"/>
      <c r="AX986" s="137"/>
      <c r="AY986" s="138"/>
      <c r="AZ986" s="220">
        <f t="shared" si="60"/>
        <v>0</v>
      </c>
      <c r="BA986" s="220">
        <f t="shared" si="61"/>
        <v>0</v>
      </c>
    </row>
    <row r="987" spans="1:53" ht="50.1" customHeight="1" x14ac:dyDescent="0.25">
      <c r="A987" s="17">
        <f t="shared" si="62"/>
        <v>973</v>
      </c>
      <c r="B987" s="228"/>
      <c r="C987" s="221"/>
      <c r="D987" s="88"/>
      <c r="E987" s="100"/>
      <c r="F987" s="95"/>
      <c r="G987" s="114"/>
      <c r="H987" s="96"/>
      <c r="I987" s="97"/>
      <c r="J987" s="98"/>
      <c r="K987" s="101"/>
      <c r="L987" s="124"/>
      <c r="M987" s="333"/>
      <c r="N987" s="341"/>
      <c r="O987" s="82"/>
      <c r="P987" s="93"/>
      <c r="Q987" s="82"/>
      <c r="R987" s="93"/>
      <c r="S987" s="298"/>
      <c r="T987" s="304"/>
      <c r="U987" s="307"/>
      <c r="V987" s="309"/>
      <c r="W987" s="248"/>
      <c r="X987" s="342"/>
      <c r="Y987" s="336"/>
      <c r="Z987" s="123"/>
      <c r="AA987" s="33"/>
      <c r="AB987" s="123"/>
      <c r="AC987" s="33"/>
      <c r="AD987" s="123"/>
      <c r="AE987" s="33"/>
      <c r="AF987" s="123"/>
      <c r="AG987" s="243"/>
      <c r="AH987" s="33"/>
      <c r="AI987" s="245"/>
      <c r="AJ987" s="125"/>
      <c r="AK987" s="91"/>
      <c r="AL987" s="126"/>
      <c r="AM987" s="91"/>
      <c r="AN987" s="91"/>
      <c r="AO987" s="197">
        <f t="shared" si="63"/>
        <v>0</v>
      </c>
      <c r="AP987" s="126"/>
      <c r="AQ987" s="216"/>
      <c r="AR987" s="127"/>
      <c r="AS987" s="269"/>
      <c r="AT987" s="94"/>
      <c r="AU987" s="84"/>
      <c r="AV987" s="80"/>
      <c r="AW987" s="81"/>
      <c r="AX987" s="77"/>
      <c r="AY987" s="107"/>
      <c r="AZ987" s="220">
        <f t="shared" si="60"/>
        <v>0</v>
      </c>
      <c r="BA987" s="220">
        <f t="shared" si="61"/>
        <v>0</v>
      </c>
    </row>
    <row r="988" spans="1:53" ht="50.1" customHeight="1" x14ac:dyDescent="0.25">
      <c r="A988" s="17">
        <f t="shared" si="62"/>
        <v>974</v>
      </c>
      <c r="B988" s="229"/>
      <c r="C988" s="222"/>
      <c r="D988" s="112"/>
      <c r="E988" s="128"/>
      <c r="F988" s="129"/>
      <c r="G988" s="130"/>
      <c r="H988" s="131"/>
      <c r="I988" s="132"/>
      <c r="J988" s="108"/>
      <c r="K988" s="133"/>
      <c r="L988" s="134"/>
      <c r="M988" s="334"/>
      <c r="N988" s="343"/>
      <c r="O988" s="135"/>
      <c r="P988" s="82"/>
      <c r="Q988" s="135"/>
      <c r="R988" s="82"/>
      <c r="S988" s="299"/>
      <c r="T988" s="305"/>
      <c r="U988" s="298"/>
      <c r="V988" s="304"/>
      <c r="W988" s="249"/>
      <c r="X988" s="344"/>
      <c r="Y988" s="337"/>
      <c r="Z988" s="33"/>
      <c r="AA988" s="83"/>
      <c r="AB988" s="33"/>
      <c r="AC988" s="83"/>
      <c r="AD988" s="33"/>
      <c r="AE988" s="83"/>
      <c r="AF988" s="33"/>
      <c r="AG988" s="244"/>
      <c r="AH988" s="83"/>
      <c r="AI988" s="246"/>
      <c r="AJ988" s="102"/>
      <c r="AK988" s="92"/>
      <c r="AL988" s="91"/>
      <c r="AM988" s="92"/>
      <c r="AN988" s="351"/>
      <c r="AO988" s="197">
        <f t="shared" si="63"/>
        <v>0</v>
      </c>
      <c r="AP988" s="91"/>
      <c r="AQ988" s="217"/>
      <c r="AR988" s="103"/>
      <c r="AS988" s="264"/>
      <c r="AT988" s="94"/>
      <c r="AU988" s="84"/>
      <c r="AV988" s="136"/>
      <c r="AW988" s="77"/>
      <c r="AX988" s="137"/>
      <c r="AY988" s="138"/>
      <c r="AZ988" s="220">
        <f t="shared" si="60"/>
        <v>0</v>
      </c>
      <c r="BA988" s="220">
        <f t="shared" si="61"/>
        <v>0</v>
      </c>
    </row>
    <row r="989" spans="1:53" ht="50.1" customHeight="1" x14ac:dyDescent="0.25">
      <c r="A989" s="17">
        <f t="shared" si="62"/>
        <v>975</v>
      </c>
      <c r="B989" s="228"/>
      <c r="C989" s="221"/>
      <c r="D989" s="88"/>
      <c r="E989" s="100"/>
      <c r="F989" s="95"/>
      <c r="G989" s="114"/>
      <c r="H989" s="96"/>
      <c r="I989" s="97"/>
      <c r="J989" s="98"/>
      <c r="K989" s="101"/>
      <c r="L989" s="124"/>
      <c r="M989" s="333"/>
      <c r="N989" s="341"/>
      <c r="O989" s="82"/>
      <c r="P989" s="93"/>
      <c r="Q989" s="82"/>
      <c r="R989" s="93"/>
      <c r="S989" s="298"/>
      <c r="T989" s="304"/>
      <c r="U989" s="307"/>
      <c r="V989" s="309"/>
      <c r="W989" s="248"/>
      <c r="X989" s="342"/>
      <c r="Y989" s="336"/>
      <c r="Z989" s="123"/>
      <c r="AA989" s="33"/>
      <c r="AB989" s="123"/>
      <c r="AC989" s="33"/>
      <c r="AD989" s="123"/>
      <c r="AE989" s="33"/>
      <c r="AF989" s="123"/>
      <c r="AG989" s="243"/>
      <c r="AH989" s="33"/>
      <c r="AI989" s="245"/>
      <c r="AJ989" s="125"/>
      <c r="AK989" s="91"/>
      <c r="AL989" s="126"/>
      <c r="AM989" s="91"/>
      <c r="AN989" s="91"/>
      <c r="AO989" s="197">
        <f t="shared" si="63"/>
        <v>0</v>
      </c>
      <c r="AP989" s="126"/>
      <c r="AQ989" s="216"/>
      <c r="AR989" s="127"/>
      <c r="AS989" s="269"/>
      <c r="AT989" s="94"/>
      <c r="AU989" s="84"/>
      <c r="AV989" s="80"/>
      <c r="AW989" s="81"/>
      <c r="AX989" s="77"/>
      <c r="AY989" s="107"/>
      <c r="AZ989" s="220">
        <f t="shared" si="60"/>
        <v>0</v>
      </c>
      <c r="BA989" s="220">
        <f t="shared" si="61"/>
        <v>0</v>
      </c>
    </row>
    <row r="990" spans="1:53" ht="50.1" customHeight="1" x14ac:dyDescent="0.25">
      <c r="A990" s="17">
        <f t="shared" si="62"/>
        <v>976</v>
      </c>
      <c r="B990" s="229"/>
      <c r="C990" s="222"/>
      <c r="D990" s="112"/>
      <c r="E990" s="128"/>
      <c r="F990" s="129"/>
      <c r="G990" s="130"/>
      <c r="H990" s="131"/>
      <c r="I990" s="132"/>
      <c r="J990" s="108"/>
      <c r="K990" s="133"/>
      <c r="L990" s="134"/>
      <c r="M990" s="334"/>
      <c r="N990" s="343"/>
      <c r="O990" s="135"/>
      <c r="P990" s="82"/>
      <c r="Q990" s="135"/>
      <c r="R990" s="82"/>
      <c r="S990" s="299"/>
      <c r="T990" s="305"/>
      <c r="U990" s="298"/>
      <c r="V990" s="304"/>
      <c r="W990" s="249"/>
      <c r="X990" s="344"/>
      <c r="Y990" s="337"/>
      <c r="Z990" s="33"/>
      <c r="AA990" s="83"/>
      <c r="AB990" s="33"/>
      <c r="AC990" s="83"/>
      <c r="AD990" s="33"/>
      <c r="AE990" s="83"/>
      <c r="AF990" s="33"/>
      <c r="AG990" s="244"/>
      <c r="AH990" s="83"/>
      <c r="AI990" s="246"/>
      <c r="AJ990" s="102"/>
      <c r="AK990" s="92"/>
      <c r="AL990" s="91"/>
      <c r="AM990" s="92"/>
      <c r="AN990" s="351"/>
      <c r="AO990" s="197">
        <f t="shared" si="63"/>
        <v>0</v>
      </c>
      <c r="AP990" s="91"/>
      <c r="AQ990" s="217"/>
      <c r="AR990" s="103"/>
      <c r="AS990" s="264"/>
      <c r="AT990" s="94"/>
      <c r="AU990" s="84"/>
      <c r="AV990" s="136"/>
      <c r="AW990" s="77"/>
      <c r="AX990" s="137"/>
      <c r="AY990" s="138"/>
      <c r="AZ990" s="220">
        <f t="shared" si="60"/>
        <v>0</v>
      </c>
      <c r="BA990" s="220">
        <f t="shared" si="61"/>
        <v>0</v>
      </c>
    </row>
    <row r="991" spans="1:53" ht="50.1" customHeight="1" x14ac:dyDescent="0.25">
      <c r="A991" s="17">
        <f t="shared" si="62"/>
        <v>977</v>
      </c>
      <c r="B991" s="228"/>
      <c r="C991" s="221"/>
      <c r="D991" s="88"/>
      <c r="E991" s="100"/>
      <c r="F991" s="95"/>
      <c r="G991" s="114"/>
      <c r="H991" s="96"/>
      <c r="I991" s="97"/>
      <c r="J991" s="98"/>
      <c r="K991" s="101"/>
      <c r="L991" s="124"/>
      <c r="M991" s="333"/>
      <c r="N991" s="341"/>
      <c r="O991" s="82"/>
      <c r="P991" s="93"/>
      <c r="Q991" s="82"/>
      <c r="R991" s="93"/>
      <c r="S991" s="298"/>
      <c r="T991" s="304"/>
      <c r="U991" s="307"/>
      <c r="V991" s="309"/>
      <c r="W991" s="248"/>
      <c r="X991" s="342"/>
      <c r="Y991" s="336"/>
      <c r="Z991" s="123"/>
      <c r="AA991" s="33"/>
      <c r="AB991" s="123"/>
      <c r="AC991" s="33"/>
      <c r="AD991" s="123"/>
      <c r="AE991" s="33"/>
      <c r="AF991" s="123"/>
      <c r="AG991" s="243"/>
      <c r="AH991" s="33"/>
      <c r="AI991" s="245"/>
      <c r="AJ991" s="125"/>
      <c r="AK991" s="91"/>
      <c r="AL991" s="126"/>
      <c r="AM991" s="91"/>
      <c r="AN991" s="91"/>
      <c r="AO991" s="197">
        <f t="shared" si="63"/>
        <v>0</v>
      </c>
      <c r="AP991" s="126"/>
      <c r="AQ991" s="216"/>
      <c r="AR991" s="127"/>
      <c r="AS991" s="269"/>
      <c r="AT991" s="94"/>
      <c r="AU991" s="84"/>
      <c r="AV991" s="80"/>
      <c r="AW991" s="81"/>
      <c r="AX991" s="77"/>
      <c r="AY991" s="107"/>
      <c r="AZ991" s="220">
        <f t="shared" si="60"/>
        <v>0</v>
      </c>
      <c r="BA991" s="220">
        <f t="shared" si="61"/>
        <v>0</v>
      </c>
    </row>
    <row r="992" spans="1:53" ht="50.1" customHeight="1" x14ac:dyDescent="0.25">
      <c r="A992" s="17">
        <f t="shared" si="62"/>
        <v>978</v>
      </c>
      <c r="B992" s="229"/>
      <c r="C992" s="222"/>
      <c r="D992" s="112"/>
      <c r="E992" s="128"/>
      <c r="F992" s="129"/>
      <c r="G992" s="130"/>
      <c r="H992" s="131"/>
      <c r="I992" s="132"/>
      <c r="J992" s="108"/>
      <c r="K992" s="133"/>
      <c r="L992" s="134"/>
      <c r="M992" s="334"/>
      <c r="N992" s="343"/>
      <c r="O992" s="135"/>
      <c r="P992" s="82"/>
      <c r="Q992" s="135"/>
      <c r="R992" s="82"/>
      <c r="S992" s="299"/>
      <c r="T992" s="305"/>
      <c r="U992" s="298"/>
      <c r="V992" s="304"/>
      <c r="W992" s="249"/>
      <c r="X992" s="344"/>
      <c r="Y992" s="337"/>
      <c r="Z992" s="33"/>
      <c r="AA992" s="83"/>
      <c r="AB992" s="33"/>
      <c r="AC992" s="83"/>
      <c r="AD992" s="33"/>
      <c r="AE992" s="83"/>
      <c r="AF992" s="33"/>
      <c r="AG992" s="244"/>
      <c r="AH992" s="83"/>
      <c r="AI992" s="246"/>
      <c r="AJ992" s="102"/>
      <c r="AK992" s="92"/>
      <c r="AL992" s="91"/>
      <c r="AM992" s="92"/>
      <c r="AN992" s="351"/>
      <c r="AO992" s="197">
        <f t="shared" si="63"/>
        <v>0</v>
      </c>
      <c r="AP992" s="91"/>
      <c r="AQ992" s="217"/>
      <c r="AR992" s="103"/>
      <c r="AS992" s="264"/>
      <c r="AT992" s="94"/>
      <c r="AU992" s="84"/>
      <c r="AV992" s="136"/>
      <c r="AW992" s="77"/>
      <c r="AX992" s="137"/>
      <c r="AY992" s="138"/>
      <c r="AZ992" s="220">
        <f t="shared" si="60"/>
        <v>0</v>
      </c>
      <c r="BA992" s="220">
        <f t="shared" si="61"/>
        <v>0</v>
      </c>
    </row>
    <row r="993" spans="1:53" ht="50.1" customHeight="1" x14ac:dyDescent="0.25">
      <c r="A993" s="17">
        <f t="shared" si="62"/>
        <v>979</v>
      </c>
      <c r="B993" s="228"/>
      <c r="C993" s="221"/>
      <c r="D993" s="88"/>
      <c r="E993" s="100"/>
      <c r="F993" s="95"/>
      <c r="G993" s="114"/>
      <c r="H993" s="96"/>
      <c r="I993" s="97"/>
      <c r="J993" s="98"/>
      <c r="K993" s="101"/>
      <c r="L993" s="124"/>
      <c r="M993" s="333"/>
      <c r="N993" s="341"/>
      <c r="O993" s="82"/>
      <c r="P993" s="93"/>
      <c r="Q993" s="82"/>
      <c r="R993" s="93"/>
      <c r="S993" s="298"/>
      <c r="T993" s="304"/>
      <c r="U993" s="307"/>
      <c r="V993" s="309"/>
      <c r="W993" s="248"/>
      <c r="X993" s="342"/>
      <c r="Y993" s="336"/>
      <c r="Z993" s="123"/>
      <c r="AA993" s="33"/>
      <c r="AB993" s="123"/>
      <c r="AC993" s="33"/>
      <c r="AD993" s="123"/>
      <c r="AE993" s="33"/>
      <c r="AF993" s="123"/>
      <c r="AG993" s="243"/>
      <c r="AH993" s="33"/>
      <c r="AI993" s="245"/>
      <c r="AJ993" s="125"/>
      <c r="AK993" s="91"/>
      <c r="AL993" s="126"/>
      <c r="AM993" s="91"/>
      <c r="AN993" s="91"/>
      <c r="AO993" s="197">
        <f t="shared" si="63"/>
        <v>0</v>
      </c>
      <c r="AP993" s="126"/>
      <c r="AQ993" s="216"/>
      <c r="AR993" s="127"/>
      <c r="AS993" s="269"/>
      <c r="AT993" s="94"/>
      <c r="AU993" s="84"/>
      <c r="AV993" s="80"/>
      <c r="AW993" s="81"/>
      <c r="AX993" s="77"/>
      <c r="AY993" s="107"/>
      <c r="AZ993" s="220">
        <f t="shared" si="60"/>
        <v>0</v>
      </c>
      <c r="BA993" s="220">
        <f t="shared" si="61"/>
        <v>0</v>
      </c>
    </row>
    <row r="994" spans="1:53" ht="50.1" customHeight="1" x14ac:dyDescent="0.25">
      <c r="A994" s="17">
        <f t="shared" si="62"/>
        <v>980</v>
      </c>
      <c r="B994" s="229"/>
      <c r="C994" s="222"/>
      <c r="D994" s="112"/>
      <c r="E994" s="128"/>
      <c r="F994" s="129"/>
      <c r="G994" s="130"/>
      <c r="H994" s="131"/>
      <c r="I994" s="132"/>
      <c r="J994" s="108"/>
      <c r="K994" s="133"/>
      <c r="L994" s="134"/>
      <c r="M994" s="334"/>
      <c r="N994" s="343"/>
      <c r="O994" s="135"/>
      <c r="P994" s="82"/>
      <c r="Q994" s="135"/>
      <c r="R994" s="82"/>
      <c r="S994" s="299"/>
      <c r="T994" s="305"/>
      <c r="U994" s="298"/>
      <c r="V994" s="304"/>
      <c r="W994" s="249"/>
      <c r="X994" s="344"/>
      <c r="Y994" s="337"/>
      <c r="Z994" s="33"/>
      <c r="AA994" s="83"/>
      <c r="AB994" s="33"/>
      <c r="AC994" s="83"/>
      <c r="AD994" s="33"/>
      <c r="AE994" s="83"/>
      <c r="AF994" s="33"/>
      <c r="AG994" s="244"/>
      <c r="AH994" s="83"/>
      <c r="AI994" s="246"/>
      <c r="AJ994" s="102"/>
      <c r="AK994" s="92"/>
      <c r="AL994" s="91"/>
      <c r="AM994" s="92"/>
      <c r="AN994" s="351"/>
      <c r="AO994" s="197">
        <f t="shared" si="63"/>
        <v>0</v>
      </c>
      <c r="AP994" s="91"/>
      <c r="AQ994" s="217"/>
      <c r="AR994" s="103"/>
      <c r="AS994" s="264"/>
      <c r="AT994" s="94"/>
      <c r="AU994" s="84"/>
      <c r="AV994" s="136"/>
      <c r="AW994" s="77"/>
      <c r="AX994" s="137"/>
      <c r="AY994" s="138"/>
      <c r="AZ994" s="220">
        <f t="shared" si="60"/>
        <v>0</v>
      </c>
      <c r="BA994" s="220">
        <f t="shared" si="61"/>
        <v>0</v>
      </c>
    </row>
    <row r="995" spans="1:53" ht="50.1" customHeight="1" x14ac:dyDescent="0.25">
      <c r="A995" s="17">
        <f t="shared" si="62"/>
        <v>981</v>
      </c>
      <c r="B995" s="228"/>
      <c r="C995" s="221"/>
      <c r="D995" s="88"/>
      <c r="E995" s="100"/>
      <c r="F995" s="95"/>
      <c r="G995" s="114"/>
      <c r="H995" s="96"/>
      <c r="I995" s="97"/>
      <c r="J995" s="98"/>
      <c r="K995" s="101"/>
      <c r="L995" s="124"/>
      <c r="M995" s="333"/>
      <c r="N995" s="341"/>
      <c r="O995" s="82"/>
      <c r="P995" s="93"/>
      <c r="Q995" s="82"/>
      <c r="R995" s="93"/>
      <c r="S995" s="298"/>
      <c r="T995" s="304"/>
      <c r="U995" s="307"/>
      <c r="V995" s="309"/>
      <c r="W995" s="248"/>
      <c r="X995" s="342"/>
      <c r="Y995" s="336"/>
      <c r="Z995" s="123"/>
      <c r="AA995" s="33"/>
      <c r="AB995" s="123"/>
      <c r="AC995" s="33"/>
      <c r="AD995" s="123"/>
      <c r="AE995" s="33"/>
      <c r="AF995" s="123"/>
      <c r="AG995" s="243"/>
      <c r="AH995" s="33"/>
      <c r="AI995" s="245"/>
      <c r="AJ995" s="125"/>
      <c r="AK995" s="91"/>
      <c r="AL995" s="126"/>
      <c r="AM995" s="91"/>
      <c r="AN995" s="91"/>
      <c r="AO995" s="197">
        <f t="shared" si="63"/>
        <v>0</v>
      </c>
      <c r="AP995" s="126"/>
      <c r="AQ995" s="216"/>
      <c r="AR995" s="127"/>
      <c r="AS995" s="269"/>
      <c r="AT995" s="94"/>
      <c r="AU995" s="84"/>
      <c r="AV995" s="80"/>
      <c r="AW995" s="81"/>
      <c r="AX995" s="77"/>
      <c r="AY995" s="107"/>
      <c r="AZ995" s="220">
        <f t="shared" si="60"/>
        <v>0</v>
      </c>
      <c r="BA995" s="220">
        <f t="shared" si="61"/>
        <v>0</v>
      </c>
    </row>
    <row r="996" spans="1:53" ht="50.1" customHeight="1" x14ac:dyDescent="0.25">
      <c r="A996" s="17">
        <f t="shared" si="62"/>
        <v>982</v>
      </c>
      <c r="B996" s="229"/>
      <c r="C996" s="222"/>
      <c r="D996" s="112"/>
      <c r="E996" s="128"/>
      <c r="F996" s="129"/>
      <c r="G996" s="130"/>
      <c r="H996" s="131"/>
      <c r="I996" s="132"/>
      <c r="J996" s="108"/>
      <c r="K996" s="133"/>
      <c r="L996" s="134"/>
      <c r="M996" s="334"/>
      <c r="N996" s="343"/>
      <c r="O996" s="135"/>
      <c r="P996" s="82"/>
      <c r="Q996" s="135"/>
      <c r="R996" s="82"/>
      <c r="S996" s="299"/>
      <c r="T996" s="305"/>
      <c r="U996" s="298"/>
      <c r="V996" s="304"/>
      <c r="W996" s="249"/>
      <c r="X996" s="344"/>
      <c r="Y996" s="337"/>
      <c r="Z996" s="33"/>
      <c r="AA996" s="83"/>
      <c r="AB996" s="33"/>
      <c r="AC996" s="83"/>
      <c r="AD996" s="33"/>
      <c r="AE996" s="83"/>
      <c r="AF996" s="33"/>
      <c r="AG996" s="244"/>
      <c r="AH996" s="83"/>
      <c r="AI996" s="246"/>
      <c r="AJ996" s="102"/>
      <c r="AK996" s="92"/>
      <c r="AL996" s="91"/>
      <c r="AM996" s="92"/>
      <c r="AN996" s="351"/>
      <c r="AO996" s="197">
        <f t="shared" si="63"/>
        <v>0</v>
      </c>
      <c r="AP996" s="91"/>
      <c r="AQ996" s="217"/>
      <c r="AR996" s="103"/>
      <c r="AS996" s="264"/>
      <c r="AT996" s="94"/>
      <c r="AU996" s="84"/>
      <c r="AV996" s="136"/>
      <c r="AW996" s="77"/>
      <c r="AX996" s="137"/>
      <c r="AY996" s="138"/>
      <c r="AZ996" s="220">
        <f t="shared" si="60"/>
        <v>0</v>
      </c>
      <c r="BA996" s="220">
        <f t="shared" si="61"/>
        <v>0</v>
      </c>
    </row>
    <row r="997" spans="1:53" ht="50.1" customHeight="1" x14ac:dyDescent="0.25">
      <c r="A997" s="17">
        <f t="shared" si="62"/>
        <v>983</v>
      </c>
      <c r="B997" s="228"/>
      <c r="C997" s="221"/>
      <c r="D997" s="88"/>
      <c r="E997" s="100"/>
      <c r="F997" s="95"/>
      <c r="G997" s="114"/>
      <c r="H997" s="96"/>
      <c r="I997" s="97"/>
      <c r="J997" s="98"/>
      <c r="K997" s="101"/>
      <c r="L997" s="124"/>
      <c r="M997" s="333"/>
      <c r="N997" s="341"/>
      <c r="O997" s="82"/>
      <c r="P997" s="93"/>
      <c r="Q997" s="82"/>
      <c r="R997" s="93"/>
      <c r="S997" s="298"/>
      <c r="T997" s="304"/>
      <c r="U997" s="307"/>
      <c r="V997" s="309"/>
      <c r="W997" s="248"/>
      <c r="X997" s="342"/>
      <c r="Y997" s="336"/>
      <c r="Z997" s="123"/>
      <c r="AA997" s="33"/>
      <c r="AB997" s="123"/>
      <c r="AC997" s="33"/>
      <c r="AD997" s="123"/>
      <c r="AE997" s="33"/>
      <c r="AF997" s="123"/>
      <c r="AG997" s="243"/>
      <c r="AH997" s="33"/>
      <c r="AI997" s="245"/>
      <c r="AJ997" s="125"/>
      <c r="AK997" s="91"/>
      <c r="AL997" s="126"/>
      <c r="AM997" s="91"/>
      <c r="AN997" s="91"/>
      <c r="AO997" s="197">
        <f t="shared" si="63"/>
        <v>0</v>
      </c>
      <c r="AP997" s="126"/>
      <c r="AQ997" s="216"/>
      <c r="AR997" s="127"/>
      <c r="AS997" s="269"/>
      <c r="AT997" s="94"/>
      <c r="AU997" s="84"/>
      <c r="AV997" s="80"/>
      <c r="AW997" s="81"/>
      <c r="AX997" s="77"/>
      <c r="AY997" s="107"/>
      <c r="AZ997" s="220">
        <f t="shared" si="60"/>
        <v>0</v>
      </c>
      <c r="BA997" s="220">
        <f t="shared" si="61"/>
        <v>0</v>
      </c>
    </row>
    <row r="998" spans="1:53" ht="50.1" customHeight="1" x14ac:dyDescent="0.25">
      <c r="A998" s="17">
        <f t="shared" si="62"/>
        <v>984</v>
      </c>
      <c r="B998" s="229"/>
      <c r="C998" s="222"/>
      <c r="D998" s="112"/>
      <c r="E998" s="128"/>
      <c r="F998" s="129"/>
      <c r="G998" s="130"/>
      <c r="H998" s="131"/>
      <c r="I998" s="132"/>
      <c r="J998" s="108"/>
      <c r="K998" s="133"/>
      <c r="L998" s="134"/>
      <c r="M998" s="334"/>
      <c r="N998" s="343"/>
      <c r="O998" s="135"/>
      <c r="P998" s="82"/>
      <c r="Q998" s="135"/>
      <c r="R998" s="82"/>
      <c r="S998" s="299"/>
      <c r="T998" s="305"/>
      <c r="U998" s="298"/>
      <c r="V998" s="304"/>
      <c r="W998" s="249"/>
      <c r="X998" s="344"/>
      <c r="Y998" s="337"/>
      <c r="Z998" s="33"/>
      <c r="AA998" s="83"/>
      <c r="AB998" s="33"/>
      <c r="AC998" s="83"/>
      <c r="AD998" s="33"/>
      <c r="AE998" s="83"/>
      <c r="AF998" s="33"/>
      <c r="AG998" s="244"/>
      <c r="AH998" s="83"/>
      <c r="AI998" s="246"/>
      <c r="AJ998" s="102"/>
      <c r="AK998" s="92"/>
      <c r="AL998" s="91"/>
      <c r="AM998" s="92"/>
      <c r="AN998" s="351"/>
      <c r="AO998" s="197">
        <f t="shared" si="63"/>
        <v>0</v>
      </c>
      <c r="AP998" s="91"/>
      <c r="AQ998" s="217"/>
      <c r="AR998" s="103"/>
      <c r="AS998" s="264"/>
      <c r="AT998" s="94"/>
      <c r="AU998" s="84"/>
      <c r="AV998" s="136"/>
      <c r="AW998" s="77"/>
      <c r="AX998" s="137"/>
      <c r="AY998" s="138"/>
      <c r="AZ998" s="220">
        <f t="shared" si="60"/>
        <v>0</v>
      </c>
      <c r="BA998" s="220">
        <f t="shared" si="61"/>
        <v>0</v>
      </c>
    </row>
    <row r="999" spans="1:53" ht="50.1" customHeight="1" x14ac:dyDescent="0.25">
      <c r="A999" s="17">
        <f t="shared" si="62"/>
        <v>985</v>
      </c>
      <c r="B999" s="228"/>
      <c r="C999" s="221"/>
      <c r="D999" s="88"/>
      <c r="E999" s="100"/>
      <c r="F999" s="95"/>
      <c r="G999" s="114"/>
      <c r="H999" s="96"/>
      <c r="I999" s="97"/>
      <c r="J999" s="98"/>
      <c r="K999" s="101"/>
      <c r="L999" s="124"/>
      <c r="M999" s="333"/>
      <c r="N999" s="341"/>
      <c r="O999" s="82"/>
      <c r="P999" s="93"/>
      <c r="Q999" s="82"/>
      <c r="R999" s="93"/>
      <c r="S999" s="298"/>
      <c r="T999" s="304"/>
      <c r="U999" s="307"/>
      <c r="V999" s="309"/>
      <c r="W999" s="248"/>
      <c r="X999" s="342"/>
      <c r="Y999" s="336"/>
      <c r="Z999" s="123"/>
      <c r="AA999" s="33"/>
      <c r="AB999" s="123"/>
      <c r="AC999" s="33"/>
      <c r="AD999" s="123"/>
      <c r="AE999" s="33"/>
      <c r="AF999" s="123"/>
      <c r="AG999" s="243"/>
      <c r="AH999" s="33"/>
      <c r="AI999" s="245"/>
      <c r="AJ999" s="125"/>
      <c r="AK999" s="91"/>
      <c r="AL999" s="126"/>
      <c r="AM999" s="91"/>
      <c r="AN999" s="91"/>
      <c r="AO999" s="197">
        <f t="shared" si="63"/>
        <v>0</v>
      </c>
      <c r="AP999" s="126"/>
      <c r="AQ999" s="216"/>
      <c r="AR999" s="127"/>
      <c r="AS999" s="269"/>
      <c r="AT999" s="94"/>
      <c r="AU999" s="84"/>
      <c r="AV999" s="80"/>
      <c r="AW999" s="81"/>
      <c r="AX999" s="77"/>
      <c r="AY999" s="107"/>
      <c r="AZ999" s="220">
        <f t="shared" si="60"/>
        <v>0</v>
      </c>
      <c r="BA999" s="220">
        <f t="shared" si="61"/>
        <v>0</v>
      </c>
    </row>
    <row r="1000" spans="1:53" ht="50.1" customHeight="1" x14ac:dyDescent="0.25">
      <c r="A1000" s="17">
        <f t="shared" si="62"/>
        <v>986</v>
      </c>
      <c r="B1000" s="229"/>
      <c r="C1000" s="222"/>
      <c r="D1000" s="112"/>
      <c r="E1000" s="128"/>
      <c r="F1000" s="129"/>
      <c r="G1000" s="130"/>
      <c r="H1000" s="131"/>
      <c r="I1000" s="132"/>
      <c r="J1000" s="108"/>
      <c r="K1000" s="133"/>
      <c r="L1000" s="134"/>
      <c r="M1000" s="334"/>
      <c r="N1000" s="343"/>
      <c r="O1000" s="135"/>
      <c r="P1000" s="82"/>
      <c r="Q1000" s="135"/>
      <c r="R1000" s="82"/>
      <c r="S1000" s="299"/>
      <c r="T1000" s="305"/>
      <c r="U1000" s="298"/>
      <c r="V1000" s="304"/>
      <c r="W1000" s="249"/>
      <c r="X1000" s="344"/>
      <c r="Y1000" s="337"/>
      <c r="Z1000" s="33"/>
      <c r="AA1000" s="83"/>
      <c r="AB1000" s="33"/>
      <c r="AC1000" s="83"/>
      <c r="AD1000" s="33"/>
      <c r="AE1000" s="83"/>
      <c r="AF1000" s="33"/>
      <c r="AG1000" s="244"/>
      <c r="AH1000" s="83"/>
      <c r="AI1000" s="246"/>
      <c r="AJ1000" s="102"/>
      <c r="AK1000" s="92"/>
      <c r="AL1000" s="91"/>
      <c r="AM1000" s="92"/>
      <c r="AN1000" s="351"/>
      <c r="AO1000" s="197">
        <f t="shared" si="63"/>
        <v>0</v>
      </c>
      <c r="AP1000" s="91"/>
      <c r="AQ1000" s="217"/>
      <c r="AR1000" s="103"/>
      <c r="AS1000" s="264"/>
      <c r="AT1000" s="94"/>
      <c r="AU1000" s="84"/>
      <c r="AV1000" s="136"/>
      <c r="AW1000" s="77"/>
      <c r="AX1000" s="137"/>
      <c r="AY1000" s="138"/>
      <c r="AZ1000" s="220">
        <f t="shared" si="60"/>
        <v>0</v>
      </c>
      <c r="BA1000" s="220">
        <f t="shared" si="61"/>
        <v>0</v>
      </c>
    </row>
    <row r="1001" spans="1:53" ht="50.1" customHeight="1" x14ac:dyDescent="0.25">
      <c r="A1001" s="17">
        <f t="shared" si="62"/>
        <v>987</v>
      </c>
      <c r="B1001" s="228"/>
      <c r="C1001" s="221"/>
      <c r="D1001" s="88"/>
      <c r="E1001" s="100"/>
      <c r="F1001" s="95"/>
      <c r="G1001" s="114"/>
      <c r="H1001" s="96"/>
      <c r="I1001" s="97"/>
      <c r="J1001" s="98"/>
      <c r="K1001" s="101"/>
      <c r="L1001" s="124"/>
      <c r="M1001" s="333"/>
      <c r="N1001" s="341"/>
      <c r="O1001" s="82"/>
      <c r="P1001" s="93"/>
      <c r="Q1001" s="82"/>
      <c r="R1001" s="93"/>
      <c r="S1001" s="298"/>
      <c r="T1001" s="304"/>
      <c r="U1001" s="307"/>
      <c r="V1001" s="309"/>
      <c r="W1001" s="248"/>
      <c r="X1001" s="342"/>
      <c r="Y1001" s="336"/>
      <c r="Z1001" s="123"/>
      <c r="AA1001" s="33"/>
      <c r="AB1001" s="123"/>
      <c r="AC1001" s="33"/>
      <c r="AD1001" s="123"/>
      <c r="AE1001" s="33"/>
      <c r="AF1001" s="123"/>
      <c r="AG1001" s="243"/>
      <c r="AH1001" s="33"/>
      <c r="AI1001" s="245"/>
      <c r="AJ1001" s="125"/>
      <c r="AK1001" s="91"/>
      <c r="AL1001" s="126"/>
      <c r="AM1001" s="91"/>
      <c r="AN1001" s="91"/>
      <c r="AO1001" s="197">
        <f t="shared" si="63"/>
        <v>0</v>
      </c>
      <c r="AP1001" s="126"/>
      <c r="AQ1001" s="216"/>
      <c r="AR1001" s="127"/>
      <c r="AS1001" s="269"/>
      <c r="AT1001" s="94"/>
      <c r="AU1001" s="84"/>
      <c r="AV1001" s="80"/>
      <c r="AW1001" s="81"/>
      <c r="AX1001" s="77"/>
      <c r="AY1001" s="107"/>
      <c r="AZ1001" s="220">
        <f t="shared" si="60"/>
        <v>0</v>
      </c>
      <c r="BA1001" s="220">
        <f t="shared" si="61"/>
        <v>0</v>
      </c>
    </row>
    <row r="1002" spans="1:53" ht="50.1" customHeight="1" x14ac:dyDescent="0.25">
      <c r="A1002" s="17">
        <f t="shared" si="62"/>
        <v>988</v>
      </c>
      <c r="B1002" s="229"/>
      <c r="C1002" s="222"/>
      <c r="D1002" s="112"/>
      <c r="E1002" s="128"/>
      <c r="F1002" s="129"/>
      <c r="G1002" s="130"/>
      <c r="H1002" s="131"/>
      <c r="I1002" s="132"/>
      <c r="J1002" s="108"/>
      <c r="K1002" s="133"/>
      <c r="L1002" s="134"/>
      <c r="M1002" s="334"/>
      <c r="N1002" s="343"/>
      <c r="O1002" s="135"/>
      <c r="P1002" s="82"/>
      <c r="Q1002" s="135"/>
      <c r="R1002" s="82"/>
      <c r="S1002" s="299"/>
      <c r="T1002" s="305"/>
      <c r="U1002" s="298"/>
      <c r="V1002" s="304"/>
      <c r="W1002" s="249"/>
      <c r="X1002" s="344"/>
      <c r="Y1002" s="337"/>
      <c r="Z1002" s="33"/>
      <c r="AA1002" s="83"/>
      <c r="AB1002" s="33"/>
      <c r="AC1002" s="83"/>
      <c r="AD1002" s="33"/>
      <c r="AE1002" s="83"/>
      <c r="AF1002" s="33"/>
      <c r="AG1002" s="244"/>
      <c r="AH1002" s="83"/>
      <c r="AI1002" s="246"/>
      <c r="AJ1002" s="102"/>
      <c r="AK1002" s="92"/>
      <c r="AL1002" s="91"/>
      <c r="AM1002" s="92"/>
      <c r="AN1002" s="351"/>
      <c r="AO1002" s="197">
        <f t="shared" si="63"/>
        <v>0</v>
      </c>
      <c r="AP1002" s="91"/>
      <c r="AQ1002" s="217"/>
      <c r="AR1002" s="103"/>
      <c r="AS1002" s="264"/>
      <c r="AT1002" s="94"/>
      <c r="AU1002" s="84"/>
      <c r="AV1002" s="136"/>
      <c r="AW1002" s="77"/>
      <c r="AX1002" s="137"/>
      <c r="AY1002" s="138"/>
      <c r="AZ1002" s="220">
        <f t="shared" si="60"/>
        <v>0</v>
      </c>
      <c r="BA1002" s="220">
        <f t="shared" si="61"/>
        <v>0</v>
      </c>
    </row>
    <row r="1003" spans="1:53" ht="50.1" customHeight="1" x14ac:dyDescent="0.25">
      <c r="A1003" s="17">
        <f t="shared" si="62"/>
        <v>989</v>
      </c>
      <c r="B1003" s="228"/>
      <c r="C1003" s="221"/>
      <c r="D1003" s="88"/>
      <c r="E1003" s="100"/>
      <c r="F1003" s="95"/>
      <c r="G1003" s="114"/>
      <c r="H1003" s="96"/>
      <c r="I1003" s="97"/>
      <c r="J1003" s="98"/>
      <c r="K1003" s="101"/>
      <c r="L1003" s="124"/>
      <c r="M1003" s="333"/>
      <c r="N1003" s="341"/>
      <c r="O1003" s="82"/>
      <c r="P1003" s="93"/>
      <c r="Q1003" s="82"/>
      <c r="R1003" s="93"/>
      <c r="S1003" s="298"/>
      <c r="T1003" s="304"/>
      <c r="U1003" s="307"/>
      <c r="V1003" s="309"/>
      <c r="W1003" s="248"/>
      <c r="X1003" s="342"/>
      <c r="Y1003" s="336"/>
      <c r="Z1003" s="123"/>
      <c r="AA1003" s="33"/>
      <c r="AB1003" s="123"/>
      <c r="AC1003" s="33"/>
      <c r="AD1003" s="123"/>
      <c r="AE1003" s="33"/>
      <c r="AF1003" s="123"/>
      <c r="AG1003" s="243"/>
      <c r="AH1003" s="33"/>
      <c r="AI1003" s="245"/>
      <c r="AJ1003" s="125"/>
      <c r="AK1003" s="91"/>
      <c r="AL1003" s="126"/>
      <c r="AM1003" s="91"/>
      <c r="AN1003" s="91"/>
      <c r="AO1003" s="197">
        <f t="shared" si="63"/>
        <v>0</v>
      </c>
      <c r="AP1003" s="126"/>
      <c r="AQ1003" s="216"/>
      <c r="AR1003" s="127"/>
      <c r="AS1003" s="269"/>
      <c r="AT1003" s="94"/>
      <c r="AU1003" s="84"/>
      <c r="AV1003" s="80"/>
      <c r="AW1003" s="81"/>
      <c r="AX1003" s="77"/>
      <c r="AY1003" s="107"/>
      <c r="AZ1003" s="220">
        <f t="shared" si="60"/>
        <v>0</v>
      </c>
      <c r="BA1003" s="220">
        <f t="shared" si="61"/>
        <v>0</v>
      </c>
    </row>
    <row r="1004" spans="1:53" ht="50.1" customHeight="1" x14ac:dyDescent="0.25">
      <c r="A1004" s="17">
        <f t="shared" si="62"/>
        <v>990</v>
      </c>
      <c r="B1004" s="229"/>
      <c r="C1004" s="222"/>
      <c r="D1004" s="112"/>
      <c r="E1004" s="128"/>
      <c r="F1004" s="129"/>
      <c r="G1004" s="130"/>
      <c r="H1004" s="131"/>
      <c r="I1004" s="132"/>
      <c r="J1004" s="108"/>
      <c r="K1004" s="133"/>
      <c r="L1004" s="134"/>
      <c r="M1004" s="334"/>
      <c r="N1004" s="343"/>
      <c r="O1004" s="135"/>
      <c r="P1004" s="82"/>
      <c r="Q1004" s="135"/>
      <c r="R1004" s="82"/>
      <c r="S1004" s="299"/>
      <c r="T1004" s="305"/>
      <c r="U1004" s="298"/>
      <c r="V1004" s="304"/>
      <c r="W1004" s="249"/>
      <c r="X1004" s="344"/>
      <c r="Y1004" s="337"/>
      <c r="Z1004" s="33"/>
      <c r="AA1004" s="83"/>
      <c r="AB1004" s="33"/>
      <c r="AC1004" s="83"/>
      <c r="AD1004" s="33"/>
      <c r="AE1004" s="83"/>
      <c r="AF1004" s="33"/>
      <c r="AG1004" s="244"/>
      <c r="AH1004" s="83"/>
      <c r="AI1004" s="246"/>
      <c r="AJ1004" s="102"/>
      <c r="AK1004" s="92"/>
      <c r="AL1004" s="91"/>
      <c r="AM1004" s="92"/>
      <c r="AN1004" s="351"/>
      <c r="AO1004" s="197">
        <f t="shared" si="63"/>
        <v>0</v>
      </c>
      <c r="AP1004" s="91"/>
      <c r="AQ1004" s="217"/>
      <c r="AR1004" s="103"/>
      <c r="AS1004" s="264"/>
      <c r="AT1004" s="94"/>
      <c r="AU1004" s="84"/>
      <c r="AV1004" s="136"/>
      <c r="AW1004" s="77"/>
      <c r="AX1004" s="137"/>
      <c r="AY1004" s="138"/>
      <c r="AZ1004" s="220">
        <f t="shared" si="60"/>
        <v>0</v>
      </c>
      <c r="BA1004" s="220">
        <f t="shared" si="61"/>
        <v>0</v>
      </c>
    </row>
    <row r="1005" spans="1:53" ht="50.1" customHeight="1" x14ac:dyDescent="0.25">
      <c r="A1005" s="17">
        <f t="shared" si="62"/>
        <v>991</v>
      </c>
      <c r="B1005" s="228"/>
      <c r="C1005" s="221"/>
      <c r="D1005" s="88"/>
      <c r="E1005" s="100"/>
      <c r="F1005" s="95"/>
      <c r="G1005" s="114"/>
      <c r="H1005" s="96"/>
      <c r="I1005" s="97"/>
      <c r="J1005" s="98"/>
      <c r="K1005" s="101"/>
      <c r="L1005" s="124"/>
      <c r="M1005" s="333"/>
      <c r="N1005" s="346"/>
      <c r="O1005" s="82"/>
      <c r="P1005" s="93"/>
      <c r="Q1005" s="82"/>
      <c r="R1005" s="93"/>
      <c r="S1005" s="298"/>
      <c r="T1005" s="304"/>
      <c r="U1005" s="307"/>
      <c r="V1005" s="309"/>
      <c r="W1005" s="248"/>
      <c r="X1005" s="342"/>
      <c r="Y1005" s="336"/>
      <c r="Z1005" s="123"/>
      <c r="AA1005" s="33"/>
      <c r="AB1005" s="123"/>
      <c r="AC1005" s="33"/>
      <c r="AD1005" s="123"/>
      <c r="AE1005" s="33"/>
      <c r="AF1005" s="123"/>
      <c r="AG1005" s="243"/>
      <c r="AH1005" s="33"/>
      <c r="AI1005" s="245"/>
      <c r="AJ1005" s="125"/>
      <c r="AK1005" s="91"/>
      <c r="AL1005" s="126"/>
      <c r="AM1005" s="91"/>
      <c r="AN1005" s="91"/>
      <c r="AO1005" s="197">
        <f t="shared" si="63"/>
        <v>0</v>
      </c>
      <c r="AP1005" s="126"/>
      <c r="AQ1005" s="216"/>
      <c r="AR1005" s="127"/>
      <c r="AS1005" s="269"/>
      <c r="AT1005" s="94"/>
      <c r="AU1005" s="84"/>
      <c r="AV1005" s="80"/>
      <c r="AW1005" s="81"/>
      <c r="AX1005" s="77"/>
      <c r="AY1005" s="107"/>
      <c r="AZ1005" s="220">
        <f t="shared" si="60"/>
        <v>0</v>
      </c>
      <c r="BA1005" s="220">
        <f t="shared" si="61"/>
        <v>0</v>
      </c>
    </row>
    <row r="1006" spans="1:53" ht="50.1" customHeight="1" x14ac:dyDescent="0.25">
      <c r="A1006" s="17">
        <f t="shared" si="62"/>
        <v>992</v>
      </c>
      <c r="B1006" s="229"/>
      <c r="C1006" s="222"/>
      <c r="D1006" s="112"/>
      <c r="E1006" s="128"/>
      <c r="F1006" s="129"/>
      <c r="G1006" s="130"/>
      <c r="H1006" s="131"/>
      <c r="I1006" s="132"/>
      <c r="J1006" s="108"/>
      <c r="K1006" s="133"/>
      <c r="L1006" s="134"/>
      <c r="M1006" s="334"/>
      <c r="N1006" s="343"/>
      <c r="O1006" s="135"/>
      <c r="P1006" s="82"/>
      <c r="Q1006" s="135"/>
      <c r="R1006" s="82"/>
      <c r="S1006" s="299"/>
      <c r="T1006" s="305"/>
      <c r="U1006" s="298"/>
      <c r="V1006" s="304"/>
      <c r="W1006" s="249"/>
      <c r="X1006" s="344"/>
      <c r="Y1006" s="337"/>
      <c r="Z1006" s="33"/>
      <c r="AA1006" s="83"/>
      <c r="AB1006" s="33"/>
      <c r="AC1006" s="83"/>
      <c r="AD1006" s="33"/>
      <c r="AE1006" s="83"/>
      <c r="AF1006" s="33"/>
      <c r="AG1006" s="244"/>
      <c r="AH1006" s="83"/>
      <c r="AI1006" s="246"/>
      <c r="AJ1006" s="102"/>
      <c r="AK1006" s="92"/>
      <c r="AL1006" s="91"/>
      <c r="AM1006" s="92"/>
      <c r="AN1006" s="351"/>
      <c r="AO1006" s="197">
        <f t="shared" si="63"/>
        <v>0</v>
      </c>
      <c r="AP1006" s="91"/>
      <c r="AQ1006" s="217"/>
      <c r="AR1006" s="103"/>
      <c r="AS1006" s="264"/>
      <c r="AT1006" s="94"/>
      <c r="AU1006" s="84"/>
      <c r="AV1006" s="136"/>
      <c r="AW1006" s="77"/>
      <c r="AX1006" s="137"/>
      <c r="AY1006" s="138"/>
      <c r="AZ1006" s="220">
        <f t="shared" si="60"/>
        <v>0</v>
      </c>
      <c r="BA1006" s="220">
        <f t="shared" si="61"/>
        <v>0</v>
      </c>
    </row>
    <row r="1007" spans="1:53" ht="50.1" customHeight="1" x14ac:dyDescent="0.25">
      <c r="A1007" s="17">
        <f t="shared" si="62"/>
        <v>993</v>
      </c>
      <c r="B1007" s="228"/>
      <c r="C1007" s="221"/>
      <c r="D1007" s="88"/>
      <c r="E1007" s="100"/>
      <c r="F1007" s="95"/>
      <c r="G1007" s="114"/>
      <c r="H1007" s="96"/>
      <c r="I1007" s="97"/>
      <c r="J1007" s="98"/>
      <c r="K1007" s="101"/>
      <c r="L1007" s="124"/>
      <c r="M1007" s="333"/>
      <c r="N1007" s="341"/>
      <c r="O1007" s="82"/>
      <c r="P1007" s="93"/>
      <c r="Q1007" s="82"/>
      <c r="R1007" s="93"/>
      <c r="S1007" s="298"/>
      <c r="T1007" s="304"/>
      <c r="U1007" s="307"/>
      <c r="V1007" s="309"/>
      <c r="W1007" s="248"/>
      <c r="X1007" s="342"/>
      <c r="Y1007" s="336"/>
      <c r="Z1007" s="123"/>
      <c r="AA1007" s="33"/>
      <c r="AB1007" s="123"/>
      <c r="AC1007" s="33"/>
      <c r="AD1007" s="123"/>
      <c r="AE1007" s="33"/>
      <c r="AF1007" s="123"/>
      <c r="AG1007" s="243"/>
      <c r="AH1007" s="33"/>
      <c r="AI1007" s="245"/>
      <c r="AJ1007" s="125"/>
      <c r="AK1007" s="91"/>
      <c r="AL1007" s="126"/>
      <c r="AM1007" s="91"/>
      <c r="AN1007" s="91"/>
      <c r="AO1007" s="197">
        <f t="shared" si="63"/>
        <v>0</v>
      </c>
      <c r="AP1007" s="126"/>
      <c r="AQ1007" s="216"/>
      <c r="AR1007" s="127"/>
      <c r="AS1007" s="269"/>
      <c r="AT1007" s="94"/>
      <c r="AU1007" s="84"/>
      <c r="AV1007" s="80"/>
      <c r="AW1007" s="81"/>
      <c r="AX1007" s="77"/>
      <c r="AY1007" s="107"/>
      <c r="AZ1007" s="220">
        <f t="shared" si="60"/>
        <v>0</v>
      </c>
      <c r="BA1007" s="220">
        <f t="shared" si="61"/>
        <v>0</v>
      </c>
    </row>
    <row r="1008" spans="1:53" ht="50.1" customHeight="1" x14ac:dyDescent="0.25">
      <c r="A1008" s="17">
        <f t="shared" si="62"/>
        <v>994</v>
      </c>
      <c r="B1008" s="229"/>
      <c r="C1008" s="222"/>
      <c r="D1008" s="112"/>
      <c r="E1008" s="128"/>
      <c r="F1008" s="129"/>
      <c r="G1008" s="130"/>
      <c r="H1008" s="131"/>
      <c r="I1008" s="132"/>
      <c r="J1008" s="108"/>
      <c r="K1008" s="133"/>
      <c r="L1008" s="134"/>
      <c r="M1008" s="334"/>
      <c r="N1008" s="343"/>
      <c r="O1008" s="135"/>
      <c r="P1008" s="82"/>
      <c r="Q1008" s="135"/>
      <c r="R1008" s="82"/>
      <c r="S1008" s="299"/>
      <c r="T1008" s="305"/>
      <c r="U1008" s="298"/>
      <c r="V1008" s="304"/>
      <c r="W1008" s="249"/>
      <c r="X1008" s="344"/>
      <c r="Y1008" s="337"/>
      <c r="Z1008" s="33"/>
      <c r="AA1008" s="83"/>
      <c r="AB1008" s="33"/>
      <c r="AC1008" s="83"/>
      <c r="AD1008" s="33"/>
      <c r="AE1008" s="83"/>
      <c r="AF1008" s="33"/>
      <c r="AG1008" s="244"/>
      <c r="AH1008" s="83"/>
      <c r="AI1008" s="246"/>
      <c r="AJ1008" s="102"/>
      <c r="AK1008" s="92"/>
      <c r="AL1008" s="91"/>
      <c r="AM1008" s="92"/>
      <c r="AN1008" s="351"/>
      <c r="AO1008" s="197">
        <f t="shared" si="63"/>
        <v>0</v>
      </c>
      <c r="AP1008" s="91"/>
      <c r="AQ1008" s="217"/>
      <c r="AR1008" s="103"/>
      <c r="AS1008" s="264"/>
      <c r="AT1008" s="94"/>
      <c r="AU1008" s="84"/>
      <c r="AV1008" s="136"/>
      <c r="AW1008" s="77"/>
      <c r="AX1008" s="137"/>
      <c r="AY1008" s="138"/>
      <c r="AZ1008" s="220">
        <f t="shared" si="60"/>
        <v>0</v>
      </c>
      <c r="BA1008" s="220">
        <f t="shared" si="61"/>
        <v>0</v>
      </c>
    </row>
    <row r="1009" spans="1:53" ht="50.1" customHeight="1" x14ac:dyDescent="0.25">
      <c r="A1009" s="17">
        <f t="shared" si="62"/>
        <v>995</v>
      </c>
      <c r="B1009" s="228"/>
      <c r="C1009" s="221"/>
      <c r="D1009" s="88"/>
      <c r="E1009" s="100"/>
      <c r="F1009" s="95"/>
      <c r="G1009" s="114"/>
      <c r="H1009" s="96"/>
      <c r="I1009" s="97"/>
      <c r="J1009" s="98"/>
      <c r="K1009" s="101"/>
      <c r="L1009" s="124"/>
      <c r="M1009" s="333"/>
      <c r="N1009" s="341"/>
      <c r="O1009" s="82"/>
      <c r="P1009" s="93"/>
      <c r="Q1009" s="82"/>
      <c r="R1009" s="93"/>
      <c r="S1009" s="298"/>
      <c r="T1009" s="304"/>
      <c r="U1009" s="307"/>
      <c r="V1009" s="309"/>
      <c r="W1009" s="248"/>
      <c r="X1009" s="342"/>
      <c r="Y1009" s="336"/>
      <c r="Z1009" s="123"/>
      <c r="AA1009" s="33"/>
      <c r="AB1009" s="123"/>
      <c r="AC1009" s="33"/>
      <c r="AD1009" s="123"/>
      <c r="AE1009" s="33"/>
      <c r="AF1009" s="123"/>
      <c r="AG1009" s="243"/>
      <c r="AH1009" s="33"/>
      <c r="AI1009" s="245"/>
      <c r="AJ1009" s="125"/>
      <c r="AK1009" s="91"/>
      <c r="AL1009" s="126"/>
      <c r="AM1009" s="91"/>
      <c r="AN1009" s="91"/>
      <c r="AO1009" s="197">
        <f t="shared" si="63"/>
        <v>0</v>
      </c>
      <c r="AP1009" s="126"/>
      <c r="AQ1009" s="216"/>
      <c r="AR1009" s="127"/>
      <c r="AS1009" s="269"/>
      <c r="AT1009" s="94"/>
      <c r="AU1009" s="84"/>
      <c r="AV1009" s="80"/>
      <c r="AW1009" s="81"/>
      <c r="AX1009" s="77"/>
      <c r="AY1009" s="107"/>
      <c r="AZ1009" s="220">
        <f t="shared" si="60"/>
        <v>0</v>
      </c>
      <c r="BA1009" s="220">
        <f t="shared" si="61"/>
        <v>0</v>
      </c>
    </row>
    <row r="1010" spans="1:53" ht="50.1" customHeight="1" x14ac:dyDescent="0.25">
      <c r="A1010" s="17">
        <f t="shared" si="62"/>
        <v>996</v>
      </c>
      <c r="B1010" s="229"/>
      <c r="C1010" s="222"/>
      <c r="D1010" s="112"/>
      <c r="E1010" s="128"/>
      <c r="F1010" s="129"/>
      <c r="G1010" s="130"/>
      <c r="H1010" s="131"/>
      <c r="I1010" s="132"/>
      <c r="J1010" s="108"/>
      <c r="K1010" s="133"/>
      <c r="L1010" s="134"/>
      <c r="M1010" s="334"/>
      <c r="N1010" s="343"/>
      <c r="O1010" s="135"/>
      <c r="P1010" s="82"/>
      <c r="Q1010" s="135"/>
      <c r="R1010" s="82"/>
      <c r="S1010" s="299"/>
      <c r="T1010" s="305"/>
      <c r="U1010" s="298"/>
      <c r="V1010" s="304"/>
      <c r="W1010" s="249"/>
      <c r="X1010" s="344"/>
      <c r="Y1010" s="337"/>
      <c r="Z1010" s="33"/>
      <c r="AA1010" s="83"/>
      <c r="AB1010" s="33"/>
      <c r="AC1010" s="83"/>
      <c r="AD1010" s="33"/>
      <c r="AE1010" s="83"/>
      <c r="AF1010" s="33"/>
      <c r="AG1010" s="244"/>
      <c r="AH1010" s="83"/>
      <c r="AI1010" s="246"/>
      <c r="AJ1010" s="102"/>
      <c r="AK1010" s="92"/>
      <c r="AL1010" s="91"/>
      <c r="AM1010" s="92"/>
      <c r="AN1010" s="351"/>
      <c r="AO1010" s="197">
        <f t="shared" si="63"/>
        <v>0</v>
      </c>
      <c r="AP1010" s="91"/>
      <c r="AQ1010" s="217"/>
      <c r="AR1010" s="103"/>
      <c r="AS1010" s="264"/>
      <c r="AT1010" s="94"/>
      <c r="AU1010" s="84"/>
      <c r="AV1010" s="136"/>
      <c r="AW1010" s="77"/>
      <c r="AX1010" s="137"/>
      <c r="AY1010" s="138"/>
      <c r="AZ1010" s="220">
        <f t="shared" si="60"/>
        <v>0</v>
      </c>
      <c r="BA1010" s="220">
        <f t="shared" si="61"/>
        <v>0</v>
      </c>
    </row>
    <row r="1011" spans="1:53" ht="50.1" customHeight="1" x14ac:dyDescent="0.25">
      <c r="A1011" s="17">
        <f t="shared" si="62"/>
        <v>997</v>
      </c>
      <c r="B1011" s="228"/>
      <c r="C1011" s="221"/>
      <c r="D1011" s="88"/>
      <c r="E1011" s="100"/>
      <c r="F1011" s="95"/>
      <c r="G1011" s="114"/>
      <c r="H1011" s="96"/>
      <c r="I1011" s="97"/>
      <c r="J1011" s="98"/>
      <c r="K1011" s="101"/>
      <c r="L1011" s="124"/>
      <c r="M1011" s="333"/>
      <c r="N1011" s="341"/>
      <c r="O1011" s="82"/>
      <c r="P1011" s="93"/>
      <c r="Q1011" s="82"/>
      <c r="R1011" s="93"/>
      <c r="S1011" s="298"/>
      <c r="T1011" s="304"/>
      <c r="U1011" s="307"/>
      <c r="V1011" s="309"/>
      <c r="W1011" s="248"/>
      <c r="X1011" s="342"/>
      <c r="Y1011" s="336"/>
      <c r="Z1011" s="123"/>
      <c r="AA1011" s="33"/>
      <c r="AB1011" s="123"/>
      <c r="AC1011" s="33"/>
      <c r="AD1011" s="123"/>
      <c r="AE1011" s="33"/>
      <c r="AF1011" s="123"/>
      <c r="AG1011" s="243"/>
      <c r="AH1011" s="33"/>
      <c r="AI1011" s="245"/>
      <c r="AJ1011" s="125"/>
      <c r="AK1011" s="91"/>
      <c r="AL1011" s="126"/>
      <c r="AM1011" s="91"/>
      <c r="AN1011" s="91"/>
      <c r="AO1011" s="197">
        <f t="shared" si="63"/>
        <v>0</v>
      </c>
      <c r="AP1011" s="126"/>
      <c r="AQ1011" s="216"/>
      <c r="AR1011" s="127"/>
      <c r="AS1011" s="269"/>
      <c r="AT1011" s="94"/>
      <c r="AU1011" s="84"/>
      <c r="AV1011" s="80"/>
      <c r="AW1011" s="81"/>
      <c r="AX1011" s="77"/>
      <c r="AY1011" s="107"/>
      <c r="AZ1011" s="220">
        <f t="shared" si="60"/>
        <v>0</v>
      </c>
      <c r="BA1011" s="220">
        <f t="shared" si="61"/>
        <v>0</v>
      </c>
    </row>
    <row r="1012" spans="1:53" ht="50.1" customHeight="1" x14ac:dyDescent="0.25">
      <c r="A1012" s="17">
        <f t="shared" si="62"/>
        <v>998</v>
      </c>
      <c r="B1012" s="229"/>
      <c r="C1012" s="222"/>
      <c r="D1012" s="112"/>
      <c r="E1012" s="128"/>
      <c r="F1012" s="129"/>
      <c r="G1012" s="130"/>
      <c r="H1012" s="131"/>
      <c r="I1012" s="132"/>
      <c r="J1012" s="108"/>
      <c r="K1012" s="133"/>
      <c r="L1012" s="134"/>
      <c r="M1012" s="334"/>
      <c r="N1012" s="343"/>
      <c r="O1012" s="135"/>
      <c r="P1012" s="82"/>
      <c r="Q1012" s="135"/>
      <c r="R1012" s="82"/>
      <c r="S1012" s="299"/>
      <c r="T1012" s="305"/>
      <c r="U1012" s="298"/>
      <c r="V1012" s="304"/>
      <c r="W1012" s="249"/>
      <c r="X1012" s="344"/>
      <c r="Y1012" s="337"/>
      <c r="Z1012" s="33"/>
      <c r="AA1012" s="83"/>
      <c r="AB1012" s="33"/>
      <c r="AC1012" s="83"/>
      <c r="AD1012" s="33"/>
      <c r="AE1012" s="83"/>
      <c r="AF1012" s="33"/>
      <c r="AG1012" s="244"/>
      <c r="AH1012" s="83"/>
      <c r="AI1012" s="246"/>
      <c r="AJ1012" s="102"/>
      <c r="AK1012" s="92"/>
      <c r="AL1012" s="91"/>
      <c r="AM1012" s="92"/>
      <c r="AN1012" s="351"/>
      <c r="AO1012" s="197">
        <f t="shared" si="63"/>
        <v>0</v>
      </c>
      <c r="AP1012" s="91"/>
      <c r="AQ1012" s="217"/>
      <c r="AR1012" s="103"/>
      <c r="AS1012" s="264"/>
      <c r="AT1012" s="94"/>
      <c r="AU1012" s="84"/>
      <c r="AV1012" s="136"/>
      <c r="AW1012" s="77"/>
      <c r="AX1012" s="137"/>
      <c r="AY1012" s="138"/>
      <c r="AZ1012" s="220">
        <f t="shared" si="60"/>
        <v>0</v>
      </c>
      <c r="BA1012" s="220">
        <f t="shared" si="61"/>
        <v>0</v>
      </c>
    </row>
    <row r="1013" spans="1:53" ht="50.1" customHeight="1" x14ac:dyDescent="0.25">
      <c r="A1013" s="17">
        <f t="shared" si="62"/>
        <v>999</v>
      </c>
      <c r="B1013" s="228"/>
      <c r="C1013" s="221"/>
      <c r="D1013" s="88"/>
      <c r="E1013" s="100"/>
      <c r="F1013" s="95"/>
      <c r="G1013" s="114"/>
      <c r="H1013" s="96"/>
      <c r="I1013" s="97"/>
      <c r="J1013" s="98"/>
      <c r="K1013" s="101"/>
      <c r="L1013" s="124"/>
      <c r="M1013" s="333"/>
      <c r="N1013" s="341"/>
      <c r="O1013" s="82"/>
      <c r="P1013" s="93"/>
      <c r="Q1013" s="82"/>
      <c r="R1013" s="93"/>
      <c r="S1013" s="298"/>
      <c r="T1013" s="304"/>
      <c r="U1013" s="307"/>
      <c r="V1013" s="309"/>
      <c r="W1013" s="248"/>
      <c r="X1013" s="342"/>
      <c r="Y1013" s="336"/>
      <c r="Z1013" s="123"/>
      <c r="AA1013" s="33"/>
      <c r="AB1013" s="123"/>
      <c r="AC1013" s="33"/>
      <c r="AD1013" s="123"/>
      <c r="AE1013" s="33"/>
      <c r="AF1013" s="123"/>
      <c r="AG1013" s="243"/>
      <c r="AH1013" s="33"/>
      <c r="AI1013" s="245"/>
      <c r="AJ1013" s="125"/>
      <c r="AK1013" s="91"/>
      <c r="AL1013" s="126"/>
      <c r="AM1013" s="91"/>
      <c r="AN1013" s="91"/>
      <c r="AO1013" s="197">
        <f t="shared" si="63"/>
        <v>0</v>
      </c>
      <c r="AP1013" s="126"/>
      <c r="AQ1013" s="216"/>
      <c r="AR1013" s="127"/>
      <c r="AS1013" s="269"/>
      <c r="AT1013" s="94"/>
      <c r="AU1013" s="84"/>
      <c r="AV1013" s="80"/>
      <c r="AW1013" s="81"/>
      <c r="AX1013" s="77"/>
      <c r="AY1013" s="107"/>
      <c r="AZ1013" s="220">
        <f t="shared" si="60"/>
        <v>0</v>
      </c>
      <c r="BA1013" s="220">
        <f t="shared" si="61"/>
        <v>0</v>
      </c>
    </row>
    <row r="1014" spans="1:53" ht="50.1" customHeight="1" x14ac:dyDescent="0.25">
      <c r="A1014" s="17">
        <f t="shared" si="62"/>
        <v>1000</v>
      </c>
      <c r="B1014" s="229"/>
      <c r="C1014" s="222"/>
      <c r="D1014" s="112"/>
      <c r="E1014" s="128"/>
      <c r="F1014" s="129"/>
      <c r="G1014" s="130"/>
      <c r="H1014" s="131"/>
      <c r="I1014" s="132"/>
      <c r="J1014" s="108"/>
      <c r="K1014" s="133"/>
      <c r="L1014" s="134"/>
      <c r="M1014" s="334"/>
      <c r="N1014" s="343"/>
      <c r="O1014" s="135"/>
      <c r="P1014" s="82"/>
      <c r="Q1014" s="135"/>
      <c r="R1014" s="82"/>
      <c r="S1014" s="299"/>
      <c r="T1014" s="305"/>
      <c r="U1014" s="298"/>
      <c r="V1014" s="304"/>
      <c r="W1014" s="249"/>
      <c r="X1014" s="344"/>
      <c r="Y1014" s="337"/>
      <c r="Z1014" s="33"/>
      <c r="AA1014" s="83"/>
      <c r="AB1014" s="33"/>
      <c r="AC1014" s="83"/>
      <c r="AD1014" s="33"/>
      <c r="AE1014" s="83"/>
      <c r="AF1014" s="33"/>
      <c r="AG1014" s="244"/>
      <c r="AH1014" s="83"/>
      <c r="AI1014" s="246"/>
      <c r="AJ1014" s="102"/>
      <c r="AK1014" s="92"/>
      <c r="AL1014" s="91"/>
      <c r="AM1014" s="92"/>
      <c r="AN1014" s="351"/>
      <c r="AO1014" s="197">
        <f t="shared" si="63"/>
        <v>0</v>
      </c>
      <c r="AP1014" s="91"/>
      <c r="AQ1014" s="217"/>
      <c r="AR1014" s="103"/>
      <c r="AS1014" s="264"/>
      <c r="AT1014" s="94"/>
      <c r="AU1014" s="84"/>
      <c r="AV1014" s="136"/>
      <c r="AW1014" s="77"/>
      <c r="AX1014" s="137"/>
      <c r="AY1014" s="138"/>
      <c r="AZ1014" s="220">
        <f t="shared" si="60"/>
        <v>0</v>
      </c>
      <c r="BA1014" s="220">
        <f t="shared" si="61"/>
        <v>0</v>
      </c>
    </row>
  </sheetData>
  <sheetProtection algorithmName="SHA-512" hashValue="2bDdxOtteWHz+K4QlQ+wphAyVYMr94Q9SxEbohhSKiPyE2u7pLZWbrMntk1gjt4FikWdCIYeRFi+JSJTB4aY2g==" saltValue="q28g+1N89ygknME1U3AtIQ==" spinCount="100000" sheet="1" objects="1" scenarios="1"/>
  <dataConsolidate/>
  <mergeCells count="30">
    <mergeCell ref="A2:P2"/>
    <mergeCell ref="A3:P3"/>
    <mergeCell ref="A4:P4"/>
    <mergeCell ref="I10:J10"/>
    <mergeCell ref="K6:N6"/>
    <mergeCell ref="K7:N7"/>
    <mergeCell ref="K8:N8"/>
    <mergeCell ref="K9:N9"/>
    <mergeCell ref="K10:N10"/>
    <mergeCell ref="AT13:AX13"/>
    <mergeCell ref="AZ13:BA13"/>
    <mergeCell ref="A5:L5"/>
    <mergeCell ref="A6:D6"/>
    <mergeCell ref="A7:D7"/>
    <mergeCell ref="A10:D10"/>
    <mergeCell ref="E6:H6"/>
    <mergeCell ref="E7:H7"/>
    <mergeCell ref="A8:D9"/>
    <mergeCell ref="E8:H9"/>
    <mergeCell ref="I6:J6"/>
    <mergeCell ref="I7:J7"/>
    <mergeCell ref="I8:J8"/>
    <mergeCell ref="I9:J9"/>
    <mergeCell ref="AJ13:AS13"/>
    <mergeCell ref="A11:L11"/>
    <mergeCell ref="A13:E13"/>
    <mergeCell ref="F13:J13"/>
    <mergeCell ref="Y13:AI13"/>
    <mergeCell ref="N13:X13"/>
    <mergeCell ref="A12:N12"/>
  </mergeCells>
  <conditionalFormatting sqref="A15:A1014">
    <cfRule type="expression" dxfId="5" priority="18">
      <formula>$AT15="YES"</formula>
    </cfRule>
  </conditionalFormatting>
  <conditionalFormatting sqref="B15:BA1014">
    <cfRule type="expression" dxfId="4" priority="1">
      <formula>$AT15="YES"</formula>
    </cfRule>
  </conditionalFormatting>
  <dataValidations xWindow="125" yWindow="607" count="12">
    <dataValidation type="date" allowBlank="1" showInputMessage="1" showErrorMessage="1" prompt="Use MM/DD/YYYY format.  Leave blank until date is needed. " sqref="B15:B1014" xr:uid="{00000000-0002-0000-0200-000000000000}">
      <formula1>36526</formula1>
      <formula2>46022</formula2>
    </dataValidation>
    <dataValidation type="date" allowBlank="1" showInputMessage="1" showErrorMessage="1" prompt="Use MM/DD/YYYY format. Leave blank until date is needed. " sqref="AU15:AU1014 M15:M1014" xr:uid="{00000000-0002-0000-0200-000001000000}">
      <formula1>36526</formula1>
      <formula2>46022</formula2>
    </dataValidation>
    <dataValidation allowBlank="1" showInputMessage="1" showErrorMessage="1" prompt="Note Section for Column AH" sqref="AI15:AI1014" xr:uid="{00000000-0002-0000-0200-000002000000}"/>
    <dataValidation allowBlank="1" showInputMessage="1" showErrorMessage="1" prompt="Note Section for Column AF" sqref="AG15:AG1014" xr:uid="{00000000-0002-0000-0200-000003000000}"/>
    <dataValidation type="date" allowBlank="1" showInputMessage="1" showErrorMessage="1" prompt="Use MM/DD/YYYY format. Leave blank until date is needed" sqref="X15:X1014" xr:uid="{00000000-0002-0000-0200-000004000000}">
      <formula1>44013</formula1>
      <formula2>44377</formula2>
    </dataValidation>
    <dataValidation type="whole" allowBlank="1" showInputMessage="1" showErrorMessage="1" prompt="Use a number, do NOT use alphabet. " sqref="G15:G1014" xr:uid="{00000000-0002-0000-0200-000005000000}">
      <formula1>0</formula1>
      <formula2>150</formula2>
    </dataValidation>
    <dataValidation allowBlank="1" showInputMessage="1" showErrorMessage="1" prompt="Use MM/DD/YYYY format. Leave blank until date is needed. " sqref="N15:N1014" xr:uid="{00000000-0002-0000-0200-000006000000}"/>
    <dataValidation allowBlank="1" showInputMessage="1" showErrorMessage="1" prompt="Note Section for Column S" sqref="T15:T1014" xr:uid="{00000000-0002-0000-0200-000007000000}"/>
    <dataValidation allowBlank="1" showInputMessage="1" showErrorMessage="1" prompt="Note Section for Column U " sqref="V15:V1014" xr:uid="{00000000-0002-0000-0200-000008000000}"/>
    <dataValidation allowBlank="1" showInputMessage="1" showErrorMessage="1" prompt="Note Section for Column AR " sqref="AS15:AS1014" xr:uid="{00000000-0002-0000-0200-000009000000}"/>
    <dataValidation allowBlank="1" showInputMessage="1" showErrorMessage="1" prompt="Provide a brief description" sqref="K15:K1014" xr:uid="{B14E0770-585A-4C4A-B306-C0AD5329274C}"/>
    <dataValidation allowBlank="1" showInputMessage="1" showErrorMessage="1" prompt="Do not submit with identifying information. " sqref="D15:D1014" xr:uid="{8460AD6A-4CE2-4EAB-AF1B-16CEA1AA9B7D}"/>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xWindow="125" yWindow="607" count="8">
        <x14:dataValidation type="list" allowBlank="1" showInputMessage="1" showErrorMessage="1" prompt="Select an option from drop-down list. " xr:uid="{00000000-0002-0000-0200-00000A000000}">
          <x14:formula1>
            <xm:f>'pick list '!$G$12:$G$14</xm:f>
          </x14:formula1>
          <xm:sqref>J15:J1014</xm:sqref>
        </x14:dataValidation>
        <x14:dataValidation type="list" allowBlank="1" showInputMessage="1" showErrorMessage="1" prompt="Select an option from drop-down list. " xr:uid="{00000000-0002-0000-0200-00000B000000}">
          <x14:formula1>
            <xm:f>'pick list '!$L$3:$L$4</xm:f>
          </x14:formula1>
          <xm:sqref>H15:H1014</xm:sqref>
        </x14:dataValidation>
        <x14:dataValidation type="list" allowBlank="1" showInputMessage="1" showErrorMessage="1" prompt="Select an option from drop-down list. " xr:uid="{00000000-0002-0000-0200-00000C000000}">
          <x14:formula1>
            <xm:f>'pick list '!$G$3:$G$9</xm:f>
          </x14:formula1>
          <xm:sqref>I15:I1014</xm:sqref>
        </x14:dataValidation>
        <x14:dataValidation type="list" allowBlank="1" showInputMessage="1" showErrorMessage="1" xr:uid="{00000000-0002-0000-0200-00000D000000}">
          <x14:formula1>
            <xm:f>'pick list '!$L$9:$L$10</xm:f>
          </x14:formula1>
          <xm:sqref>L15:L1014</xm:sqref>
        </x14:dataValidation>
        <x14:dataValidation type="list" allowBlank="1" showInputMessage="1" showErrorMessage="1" prompt="Select an option from drop-down list. " xr:uid="{00000000-0002-0000-0200-00000E000000}">
          <x14:formula1>
            <xm:f>'pick list '!$J$3:$J$57</xm:f>
          </x14:formula1>
          <xm:sqref>F15:F1014</xm:sqref>
        </x14:dataValidation>
        <x14:dataValidation type="list" allowBlank="1" showInputMessage="1" showErrorMessage="1" xr:uid="{00000000-0002-0000-0200-00000F000000}">
          <x14:formula1>
            <xm:f>'pick list '!$M$9:$M$10</xm:f>
          </x14:formula1>
          <xm:sqref>AQ440 AQ442:AQ1014 AQ434 AQ436 AQ438</xm:sqref>
        </x14:dataValidation>
        <x14:dataValidation type="list" allowBlank="1" showInputMessage="1" showErrorMessage="1" prompt="Select an option from drop-down list. " xr:uid="{00000000-0002-0000-0200-000010000000}">
          <x14:formula1>
            <xm:f>'pick list '!$N$5:$N$7</xm:f>
          </x14:formula1>
          <xm:sqref>AR15:AR1007 AR1009:AR1014 AR1008</xm:sqref>
        </x14:dataValidation>
        <x14:dataValidation type="list" allowBlank="1" showInputMessage="1" showErrorMessage="1" prompt="Select an option from drop-down list. " xr:uid="{3252FF86-2964-4CF3-9E1F-EB86C126FD7B}">
          <x14:formula1>
            <xm:f>'pick list '!$M$9:$M$10</xm:f>
          </x14:formula1>
          <xm:sqref>O15:S1014 U15:U1014 W15:W1014 Y15:AF1014 AH15:AH1014 AT15:AT1014 AV15:AV1014 C15:C1014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749992370372631"/>
  </sheetPr>
  <dimension ref="A1:M372"/>
  <sheetViews>
    <sheetView zoomScale="90" zoomScaleNormal="90" workbookViewId="0">
      <pane ySplit="1" topLeftCell="A8" activePane="bottomLeft" state="frozen"/>
      <selection activeCell="N1" sqref="N1"/>
      <selection pane="bottomLeft" activeCell="B14" sqref="B14:M20"/>
    </sheetView>
  </sheetViews>
  <sheetFormatPr defaultRowHeight="15" x14ac:dyDescent="0.25"/>
  <cols>
    <col min="1" max="1" width="5.7109375" customWidth="1"/>
    <col min="2" max="2" width="21.85546875" customWidth="1"/>
    <col min="3" max="3" width="12.7109375" customWidth="1"/>
    <col min="4" max="4" width="13.7109375" customWidth="1"/>
    <col min="5" max="5" width="17.42578125" customWidth="1"/>
    <col min="6" max="9" width="12.7109375" customWidth="1"/>
    <col min="10" max="10" width="13.28515625" customWidth="1"/>
    <col min="11" max="11" width="12.7109375" customWidth="1"/>
    <col min="12" max="12" width="14.85546875" customWidth="1"/>
    <col min="13" max="13" width="70.85546875" customWidth="1"/>
  </cols>
  <sheetData>
    <row r="1" spans="1:13" ht="45" customHeight="1" x14ac:dyDescent="0.25">
      <c r="A1" s="233" t="s">
        <v>234</v>
      </c>
      <c r="B1" s="234" t="s">
        <v>235</v>
      </c>
      <c r="C1" s="235" t="s">
        <v>237</v>
      </c>
      <c r="D1" s="357" t="s">
        <v>238</v>
      </c>
      <c r="E1" s="356" t="s">
        <v>239</v>
      </c>
      <c r="F1" s="237" t="s">
        <v>306</v>
      </c>
      <c r="G1" s="236" t="s">
        <v>241</v>
      </c>
      <c r="H1" s="238" t="s">
        <v>242</v>
      </c>
      <c r="I1" s="236" t="s">
        <v>243</v>
      </c>
      <c r="J1" s="239" t="s">
        <v>307</v>
      </c>
      <c r="K1" s="240" t="s">
        <v>308</v>
      </c>
      <c r="L1" s="241" t="s">
        <v>309</v>
      </c>
      <c r="M1" s="242" t="s">
        <v>297</v>
      </c>
    </row>
    <row r="2" spans="1:13" ht="20.100000000000001" customHeight="1" x14ac:dyDescent="0.25">
      <c r="A2" s="405" t="str">
        <f>'BASE GRANTEE SET UP &amp; INFO'!A1</f>
        <v>WV Bureau for Behavioral Health and Health Facilities - Traumatic Brain Injury (TBI) Program V20210501</v>
      </c>
      <c r="B2" s="406"/>
      <c r="C2" s="406"/>
      <c r="D2" s="406"/>
      <c r="E2" s="406"/>
      <c r="F2" s="406"/>
      <c r="G2" s="406"/>
      <c r="H2" s="406"/>
      <c r="I2" s="406"/>
      <c r="J2" s="406"/>
      <c r="K2" s="406"/>
      <c r="L2" s="406"/>
      <c r="M2" s="407"/>
    </row>
    <row r="3" spans="1:13" ht="20.100000000000001" customHeight="1" x14ac:dyDescent="0.25">
      <c r="A3" s="597" t="str">
        <f>'BASE GRANTEE SET UP &amp; INFO'!A2</f>
        <v>Fiscal Year 2022 (July 1, 2021- June 30, 2022) includes data elements from previous years</v>
      </c>
      <c r="B3" s="590"/>
      <c r="C3" s="590"/>
      <c r="D3" s="590"/>
      <c r="E3" s="590"/>
      <c r="F3" s="590"/>
      <c r="G3" s="590"/>
      <c r="H3" s="590"/>
      <c r="I3" s="590"/>
      <c r="J3" s="590"/>
      <c r="K3" s="590"/>
      <c r="L3" s="590"/>
      <c r="M3" s="598"/>
    </row>
    <row r="4" spans="1:13" ht="20.100000000000001" customHeight="1" x14ac:dyDescent="0.25">
      <c r="A4" s="486" t="str">
        <f>'BASE GRANTEE SET UP &amp; INFO'!A3</f>
        <v xml:space="preserve">Program reports need to be submitted electronically, via e-mail to DHHRBBHReporting@wv.gov within 25 calendar days of the end of each month </v>
      </c>
      <c r="B4" s="487"/>
      <c r="C4" s="487"/>
      <c r="D4" s="487"/>
      <c r="E4" s="487"/>
      <c r="F4" s="487"/>
      <c r="G4" s="487"/>
      <c r="H4" s="487"/>
      <c r="I4" s="487"/>
      <c r="J4" s="487"/>
      <c r="K4" s="487"/>
      <c r="L4" s="487"/>
      <c r="M4" s="488"/>
    </row>
    <row r="5" spans="1:13" ht="24.95" customHeight="1" x14ac:dyDescent="0.25">
      <c r="A5" s="599" t="s">
        <v>310</v>
      </c>
      <c r="B5" s="600"/>
      <c r="C5" s="600"/>
      <c r="D5" s="600"/>
      <c r="E5" s="600"/>
      <c r="F5" s="600"/>
      <c r="G5" s="600"/>
      <c r="H5" s="600"/>
      <c r="I5" s="600"/>
      <c r="J5" s="600"/>
      <c r="K5" s="600"/>
      <c r="L5" s="600"/>
      <c r="M5" s="600"/>
    </row>
    <row r="6" spans="1:13" ht="20.100000000000001" customHeight="1" x14ac:dyDescent="0.25">
      <c r="A6" s="515" t="s">
        <v>204</v>
      </c>
      <c r="B6" s="516"/>
      <c r="C6" s="516"/>
      <c r="D6" s="517"/>
      <c r="E6" s="583" t="str">
        <f>'BASE GRANTEE SET UP &amp; INFO'!G5</f>
        <v xml:space="preserve">Traumatic Brain Injury (TBI) Program </v>
      </c>
      <c r="F6" s="584"/>
      <c r="G6" s="584"/>
      <c r="H6" s="584"/>
      <c r="I6" s="559" t="s">
        <v>311</v>
      </c>
      <c r="J6" s="560"/>
      <c r="K6" s="560"/>
      <c r="L6" s="560"/>
      <c r="M6" s="347" t="str">
        <f>'BASE GRANTEE SET UP &amp; INFO'!Y5</f>
        <v xml:space="preserve">WV University Research Corporation - WVU Center of Excellence in Disabilities </v>
      </c>
    </row>
    <row r="7" spans="1:13" ht="20.100000000000001" customHeight="1" x14ac:dyDescent="0.25">
      <c r="A7" s="515" t="s">
        <v>207</v>
      </c>
      <c r="B7" s="516"/>
      <c r="C7" s="516"/>
      <c r="D7" s="517"/>
      <c r="E7" s="583" t="str">
        <f>'BASE GRANTEE SET UP &amp; INFO'!G6</f>
        <v xml:space="preserve">TBI Program </v>
      </c>
      <c r="F7" s="584"/>
      <c r="G7" s="584"/>
      <c r="H7" s="584"/>
      <c r="I7" s="559" t="s">
        <v>209</v>
      </c>
      <c r="J7" s="560"/>
      <c r="K7" s="560"/>
      <c r="L7" s="560"/>
      <c r="M7" s="347">
        <f>'BASE GRANTEE SET UP &amp; INFO'!Y6</f>
        <v>0</v>
      </c>
    </row>
    <row r="8" spans="1:13" ht="15" customHeight="1" x14ac:dyDescent="0.25">
      <c r="A8" s="506" t="s">
        <v>210</v>
      </c>
      <c r="B8" s="507"/>
      <c r="C8" s="507"/>
      <c r="D8" s="508"/>
      <c r="E8" s="604" t="str">
        <f>'BASE GRANTEE SET UP &amp; INFO'!G7</f>
        <v>959 Hartman Run Road, Morgantown, WV 26506</v>
      </c>
      <c r="F8" s="605"/>
      <c r="G8" s="605"/>
      <c r="H8" s="605"/>
      <c r="I8" s="559" t="s">
        <v>212</v>
      </c>
      <c r="J8" s="560"/>
      <c r="K8" s="560"/>
      <c r="L8" s="560"/>
      <c r="M8" s="347">
        <f>'BASE GRANTEE SET UP &amp; INFO'!Y7</f>
        <v>0</v>
      </c>
    </row>
    <row r="9" spans="1:13" ht="15" customHeight="1" x14ac:dyDescent="0.25">
      <c r="A9" s="509"/>
      <c r="B9" s="510"/>
      <c r="C9" s="510"/>
      <c r="D9" s="511"/>
      <c r="E9" s="606"/>
      <c r="F9" s="607"/>
      <c r="G9" s="607"/>
      <c r="H9" s="607"/>
      <c r="I9" s="515" t="s">
        <v>312</v>
      </c>
      <c r="J9" s="516"/>
      <c r="K9" s="516"/>
      <c r="L9" s="516"/>
      <c r="M9" s="347">
        <f>'BASE GRANTEE SET UP &amp; INFO'!Y8</f>
        <v>0</v>
      </c>
    </row>
    <row r="10" spans="1:13" ht="20.100000000000001" customHeight="1" x14ac:dyDescent="0.25">
      <c r="A10" s="601" t="s">
        <v>285</v>
      </c>
      <c r="B10" s="602"/>
      <c r="C10" s="602"/>
      <c r="D10" s="603"/>
      <c r="E10" s="158" t="s">
        <v>215</v>
      </c>
      <c r="F10" s="352" t="str">
        <f>'BASE GRANTEE SET UP &amp; INFO'!I9</f>
        <v>July</v>
      </c>
      <c r="G10" s="158" t="s">
        <v>217</v>
      </c>
      <c r="H10" s="352">
        <f>'BASE GRANTEE SET UP &amp; INFO'!M9</f>
        <v>2023</v>
      </c>
      <c r="I10" s="515" t="s">
        <v>313</v>
      </c>
      <c r="J10" s="516"/>
      <c r="K10" s="516"/>
      <c r="L10" s="516"/>
      <c r="M10" s="348">
        <f>'BASE GRANTEE SET UP &amp; INFO'!Y9</f>
        <v>0</v>
      </c>
    </row>
    <row r="11" spans="1:13" ht="24.95" customHeight="1" x14ac:dyDescent="0.25">
      <c r="A11" s="546" t="s">
        <v>314</v>
      </c>
      <c r="B11" s="546"/>
      <c r="C11" s="546"/>
      <c r="D11" s="546"/>
      <c r="E11" s="546"/>
      <c r="F11" s="546"/>
      <c r="G11" s="546"/>
      <c r="H11" s="546"/>
      <c r="I11" s="546"/>
      <c r="J11" s="546"/>
      <c r="K11" s="546"/>
      <c r="L11" s="546"/>
      <c r="M11" s="364"/>
    </row>
    <row r="12" spans="1:13" ht="39.950000000000003" customHeight="1" x14ac:dyDescent="0.25">
      <c r="A12" s="594" t="s">
        <v>288</v>
      </c>
      <c r="B12" s="594"/>
      <c r="C12" s="594"/>
      <c r="D12" s="594"/>
      <c r="E12" s="595" t="s">
        <v>289</v>
      </c>
      <c r="F12" s="595"/>
      <c r="G12" s="595"/>
      <c r="H12" s="595"/>
      <c r="I12" s="595"/>
      <c r="J12" s="596" t="s">
        <v>315</v>
      </c>
      <c r="K12" s="596"/>
      <c r="L12" s="596"/>
      <c r="M12" s="159" t="s">
        <v>297</v>
      </c>
    </row>
    <row r="13" spans="1:13" ht="60" customHeight="1" x14ac:dyDescent="0.25">
      <c r="A13" s="17" t="s">
        <v>234</v>
      </c>
      <c r="B13" s="179" t="s">
        <v>316</v>
      </c>
      <c r="C13" s="115" t="s">
        <v>237</v>
      </c>
      <c r="D13" s="113" t="s">
        <v>238</v>
      </c>
      <c r="E13" s="160" t="s">
        <v>239</v>
      </c>
      <c r="F13" s="161" t="s">
        <v>240</v>
      </c>
      <c r="G13" s="160" t="s">
        <v>241</v>
      </c>
      <c r="H13" s="162" t="s">
        <v>242</v>
      </c>
      <c r="I13" s="160" t="s">
        <v>243</v>
      </c>
      <c r="J13" s="230" t="s">
        <v>307</v>
      </c>
      <c r="K13" s="163" t="s">
        <v>308</v>
      </c>
      <c r="L13" s="164" t="s">
        <v>309</v>
      </c>
      <c r="M13" s="159" t="s">
        <v>297</v>
      </c>
    </row>
    <row r="14" spans="1:13" ht="45" customHeight="1" x14ac:dyDescent="0.25">
      <c r="A14" s="17">
        <f t="shared" ref="A14:A23" si="0">ROW(A1)</f>
        <v>1</v>
      </c>
      <c r="B14" s="139"/>
      <c r="C14" s="88"/>
      <c r="D14" s="112"/>
      <c r="E14" s="378"/>
      <c r="F14" s="114"/>
      <c r="G14" s="96"/>
      <c r="H14" s="97"/>
      <c r="I14" s="376"/>
      <c r="J14" s="202"/>
      <c r="K14" s="381"/>
      <c r="L14" s="203"/>
      <c r="M14" s="166"/>
    </row>
    <row r="15" spans="1:13" ht="45" customHeight="1" x14ac:dyDescent="0.25">
      <c r="A15" s="17">
        <f t="shared" si="0"/>
        <v>2</v>
      </c>
      <c r="B15" s="110"/>
      <c r="C15" s="88"/>
      <c r="D15" s="111"/>
      <c r="E15" s="378"/>
      <c r="F15" s="114"/>
      <c r="G15" s="96"/>
      <c r="H15" s="97"/>
      <c r="I15" s="376"/>
      <c r="J15" s="202"/>
      <c r="K15" s="381"/>
      <c r="L15" s="203"/>
      <c r="M15" s="166"/>
    </row>
    <row r="16" spans="1:13" ht="45" customHeight="1" x14ac:dyDescent="0.25">
      <c r="A16" s="17">
        <f t="shared" si="0"/>
        <v>3</v>
      </c>
      <c r="B16" s="139"/>
      <c r="C16" s="88"/>
      <c r="D16" s="112"/>
      <c r="E16" s="378"/>
      <c r="F16" s="114"/>
      <c r="G16" s="96"/>
      <c r="H16" s="97"/>
      <c r="I16" s="376"/>
      <c r="J16" s="202"/>
      <c r="K16" s="381"/>
      <c r="L16" s="203"/>
      <c r="M16" s="166"/>
    </row>
    <row r="17" spans="1:13" ht="45" customHeight="1" x14ac:dyDescent="0.25">
      <c r="A17" s="17">
        <f t="shared" si="0"/>
        <v>4</v>
      </c>
      <c r="B17" s="110"/>
      <c r="C17" s="88"/>
      <c r="D17" s="111"/>
      <c r="E17" s="378"/>
      <c r="F17" s="384"/>
      <c r="G17" s="96"/>
      <c r="H17" s="97"/>
      <c r="I17" s="376"/>
      <c r="J17" s="206"/>
      <c r="K17" s="381"/>
      <c r="L17" s="205"/>
      <c r="M17" s="166"/>
    </row>
    <row r="18" spans="1:13" ht="45" customHeight="1" x14ac:dyDescent="0.25">
      <c r="A18" s="17">
        <f t="shared" si="0"/>
        <v>5</v>
      </c>
      <c r="B18" s="139"/>
      <c r="C18" s="88"/>
      <c r="D18" s="112"/>
      <c r="E18" s="378"/>
      <c r="F18" s="114"/>
      <c r="G18" s="96"/>
      <c r="H18" s="97"/>
      <c r="I18" s="376"/>
      <c r="J18" s="206"/>
      <c r="K18" s="381"/>
      <c r="L18" s="109"/>
      <c r="M18" s="166"/>
    </row>
    <row r="19" spans="1:13" ht="45" customHeight="1" x14ac:dyDescent="0.25">
      <c r="A19" s="17">
        <f t="shared" si="0"/>
        <v>6</v>
      </c>
      <c r="B19" s="110"/>
      <c r="C19" s="88"/>
      <c r="D19" s="111"/>
      <c r="E19" s="378"/>
      <c r="F19" s="114"/>
      <c r="G19" s="96"/>
      <c r="H19" s="97"/>
      <c r="I19" s="376"/>
      <c r="J19" s="202"/>
      <c r="K19" s="381"/>
      <c r="L19" s="203"/>
      <c r="M19" s="166"/>
    </row>
    <row r="20" spans="1:13" ht="45" customHeight="1" x14ac:dyDescent="0.25">
      <c r="A20" s="17">
        <f t="shared" si="0"/>
        <v>7</v>
      </c>
      <c r="B20" s="139"/>
      <c r="C20" s="88"/>
      <c r="D20" s="112"/>
      <c r="E20" s="378"/>
      <c r="F20" s="114"/>
      <c r="G20" s="96"/>
      <c r="H20" s="97"/>
      <c r="I20" s="376"/>
      <c r="J20" s="202"/>
      <c r="K20" s="381"/>
      <c r="L20" s="203"/>
      <c r="M20" s="166"/>
    </row>
    <row r="21" spans="1:13" ht="45" customHeight="1" x14ac:dyDescent="0.25">
      <c r="A21" s="17">
        <f t="shared" si="0"/>
        <v>8</v>
      </c>
      <c r="B21" s="110"/>
      <c r="C21" s="88"/>
      <c r="D21" s="111"/>
      <c r="E21" s="378"/>
      <c r="F21" s="114"/>
      <c r="G21" s="96"/>
      <c r="H21" s="97"/>
      <c r="I21" s="376"/>
      <c r="J21" s="202"/>
      <c r="K21" s="381"/>
      <c r="L21" s="207"/>
      <c r="M21" s="166"/>
    </row>
    <row r="22" spans="1:13" ht="45" customHeight="1" x14ac:dyDescent="0.25">
      <c r="A22" s="17">
        <f t="shared" si="0"/>
        <v>9</v>
      </c>
      <c r="B22" s="139"/>
      <c r="C22" s="88"/>
      <c r="D22" s="112"/>
      <c r="E22" s="378"/>
      <c r="F22" s="114"/>
      <c r="G22" s="96"/>
      <c r="H22" s="108"/>
      <c r="I22" s="376"/>
      <c r="J22" s="206"/>
      <c r="K22" s="381"/>
      <c r="L22" s="205"/>
      <c r="M22" s="166"/>
    </row>
    <row r="23" spans="1:13" ht="45" customHeight="1" x14ac:dyDescent="0.25">
      <c r="A23" s="17">
        <f t="shared" si="0"/>
        <v>10</v>
      </c>
      <c r="B23" s="110"/>
      <c r="C23" s="88"/>
      <c r="D23" s="128"/>
      <c r="E23" s="378"/>
      <c r="F23" s="114"/>
      <c r="G23" s="96"/>
      <c r="H23" s="108"/>
      <c r="I23" s="376"/>
      <c r="J23" s="206"/>
      <c r="K23" s="381"/>
      <c r="L23" s="109"/>
      <c r="M23" s="166"/>
    </row>
    <row r="24" spans="1:13" ht="45" customHeight="1" x14ac:dyDescent="0.25">
      <c r="A24" s="17">
        <f t="shared" ref="A24:A77" si="1">ROW(A11)</f>
        <v>11</v>
      </c>
      <c r="B24" s="139"/>
      <c r="C24" s="88"/>
      <c r="D24" s="100"/>
      <c r="E24" s="378"/>
      <c r="F24" s="114"/>
      <c r="G24" s="96"/>
      <c r="H24" s="108"/>
      <c r="I24" s="376"/>
      <c r="J24" s="202"/>
      <c r="K24" s="381"/>
      <c r="L24" s="203"/>
      <c r="M24" s="166"/>
    </row>
    <row r="25" spans="1:13" ht="45" customHeight="1" x14ac:dyDescent="0.25">
      <c r="A25" s="17">
        <f t="shared" si="1"/>
        <v>12</v>
      </c>
      <c r="B25" s="110"/>
      <c r="C25" s="88"/>
      <c r="D25" s="128"/>
      <c r="E25" s="378"/>
      <c r="F25" s="114"/>
      <c r="G25" s="96"/>
      <c r="H25" s="108"/>
      <c r="I25" s="376"/>
      <c r="J25" s="202"/>
      <c r="K25" s="381"/>
      <c r="L25" s="203"/>
      <c r="M25" s="166"/>
    </row>
    <row r="26" spans="1:13" ht="45" customHeight="1" x14ac:dyDescent="0.25">
      <c r="A26" s="17">
        <f t="shared" si="1"/>
        <v>13</v>
      </c>
      <c r="B26" s="139"/>
      <c r="C26" s="88"/>
      <c r="D26" s="112"/>
      <c r="E26" s="378"/>
      <c r="F26" s="114"/>
      <c r="G26" s="96"/>
      <c r="H26" s="108"/>
      <c r="I26" s="376"/>
      <c r="J26" s="202"/>
      <c r="K26" s="381"/>
      <c r="L26" s="203"/>
      <c r="M26" s="166"/>
    </row>
    <row r="27" spans="1:13" ht="45" customHeight="1" x14ac:dyDescent="0.25">
      <c r="A27" s="17">
        <f t="shared" si="1"/>
        <v>14</v>
      </c>
      <c r="B27" s="110"/>
      <c r="C27" s="88"/>
      <c r="D27" s="111"/>
      <c r="E27" s="378"/>
      <c r="F27" s="114"/>
      <c r="G27" s="96"/>
      <c r="H27" s="108"/>
      <c r="I27" s="376"/>
      <c r="J27" s="206"/>
      <c r="K27" s="381"/>
      <c r="L27" s="109"/>
      <c r="M27" s="166"/>
    </row>
    <row r="28" spans="1:13" ht="45" customHeight="1" x14ac:dyDescent="0.25">
      <c r="A28" s="17">
        <f t="shared" si="1"/>
        <v>15</v>
      </c>
      <c r="B28" s="139"/>
      <c r="C28" s="88"/>
      <c r="D28" s="112"/>
      <c r="E28" s="378"/>
      <c r="F28" s="114"/>
      <c r="G28" s="96"/>
      <c r="H28" s="108"/>
      <c r="I28" s="376"/>
      <c r="J28" s="206"/>
      <c r="K28" s="381"/>
      <c r="L28" s="109"/>
      <c r="M28" s="166"/>
    </row>
    <row r="29" spans="1:13" ht="45" customHeight="1" x14ac:dyDescent="0.25">
      <c r="A29" s="17">
        <f t="shared" si="1"/>
        <v>16</v>
      </c>
      <c r="B29" s="110"/>
      <c r="C29" s="88"/>
      <c r="D29" s="111"/>
      <c r="E29" s="378"/>
      <c r="F29" s="114"/>
      <c r="G29" s="96"/>
      <c r="H29" s="108"/>
      <c r="I29" s="376"/>
      <c r="J29" s="202"/>
      <c r="K29" s="381"/>
      <c r="L29" s="203"/>
      <c r="M29" s="166"/>
    </row>
    <row r="30" spans="1:13" ht="45" customHeight="1" x14ac:dyDescent="0.25">
      <c r="A30" s="17">
        <f t="shared" si="1"/>
        <v>17</v>
      </c>
      <c r="B30" s="139"/>
      <c r="C30" s="88"/>
      <c r="D30" s="112"/>
      <c r="E30" s="378"/>
      <c r="F30" s="114"/>
      <c r="G30" s="96"/>
      <c r="H30" s="108"/>
      <c r="I30" s="376"/>
      <c r="J30" s="202"/>
      <c r="K30" s="381"/>
      <c r="L30" s="203"/>
      <c r="M30" s="166"/>
    </row>
    <row r="31" spans="1:13" ht="45" customHeight="1" x14ac:dyDescent="0.25">
      <c r="A31" s="17">
        <f t="shared" si="1"/>
        <v>18</v>
      </c>
      <c r="B31" s="110"/>
      <c r="C31" s="88"/>
      <c r="D31" s="111"/>
      <c r="E31" s="378"/>
      <c r="F31" s="114"/>
      <c r="G31" s="96"/>
      <c r="H31" s="108"/>
      <c r="I31" s="376"/>
      <c r="J31" s="202"/>
      <c r="K31" s="381"/>
      <c r="L31" s="203"/>
      <c r="M31" s="166"/>
    </row>
    <row r="32" spans="1:13" ht="45" customHeight="1" x14ac:dyDescent="0.25">
      <c r="A32" s="17">
        <f t="shared" si="1"/>
        <v>19</v>
      </c>
      <c r="B32" s="139"/>
      <c r="C32" s="88"/>
      <c r="D32" s="112"/>
      <c r="E32" s="378"/>
      <c r="F32" s="114"/>
      <c r="G32" s="96"/>
      <c r="H32" s="108"/>
      <c r="I32" s="376"/>
      <c r="J32" s="206"/>
      <c r="K32" s="381"/>
      <c r="L32" s="205"/>
      <c r="M32" s="166"/>
    </row>
    <row r="33" spans="1:13" ht="45" customHeight="1" x14ac:dyDescent="0.25">
      <c r="A33" s="17">
        <f t="shared" si="1"/>
        <v>20</v>
      </c>
      <c r="B33" s="110"/>
      <c r="C33" s="88"/>
      <c r="D33" s="111"/>
      <c r="E33" s="378"/>
      <c r="F33" s="114"/>
      <c r="G33" s="96"/>
      <c r="H33" s="108"/>
      <c r="I33" s="376"/>
      <c r="J33" s="206"/>
      <c r="K33" s="381"/>
      <c r="L33" s="109"/>
      <c r="M33" s="166"/>
    </row>
    <row r="34" spans="1:13" ht="45" customHeight="1" x14ac:dyDescent="0.25">
      <c r="A34" s="17">
        <f t="shared" si="1"/>
        <v>21</v>
      </c>
      <c r="B34" s="139"/>
      <c r="C34" s="88"/>
      <c r="D34" s="112"/>
      <c r="E34" s="378"/>
      <c r="F34" s="114"/>
      <c r="G34" s="96"/>
      <c r="H34" s="108"/>
      <c r="I34" s="376"/>
      <c r="J34" s="202"/>
      <c r="K34" s="381"/>
      <c r="L34" s="203"/>
      <c r="M34" s="166"/>
    </row>
    <row r="35" spans="1:13" ht="45" customHeight="1" x14ac:dyDescent="0.25">
      <c r="A35" s="17">
        <f t="shared" si="1"/>
        <v>22</v>
      </c>
      <c r="B35" s="110"/>
      <c r="C35" s="88"/>
      <c r="D35" s="111"/>
      <c r="E35" s="378"/>
      <c r="F35" s="114"/>
      <c r="G35" s="96"/>
      <c r="H35" s="108"/>
      <c r="I35" s="376"/>
      <c r="J35" s="202"/>
      <c r="K35" s="381"/>
      <c r="L35" s="207"/>
      <c r="M35" s="166"/>
    </row>
    <row r="36" spans="1:13" ht="45" customHeight="1" x14ac:dyDescent="0.25">
      <c r="A36" s="17">
        <f t="shared" si="1"/>
        <v>23</v>
      </c>
      <c r="B36" s="139"/>
      <c r="C36" s="88"/>
      <c r="D36" s="112"/>
      <c r="E36" s="378"/>
      <c r="F36" s="114"/>
      <c r="G36" s="96"/>
      <c r="H36" s="108"/>
      <c r="I36" s="376"/>
      <c r="J36" s="204"/>
      <c r="K36" s="381"/>
      <c r="L36" s="207"/>
      <c r="M36" s="166"/>
    </row>
    <row r="37" spans="1:13" ht="45" customHeight="1" x14ac:dyDescent="0.25">
      <c r="A37" s="17">
        <f t="shared" si="1"/>
        <v>24</v>
      </c>
      <c r="B37" s="110"/>
      <c r="C37" s="88"/>
      <c r="D37" s="111"/>
      <c r="E37" s="378"/>
      <c r="F37" s="114"/>
      <c r="G37" s="96"/>
      <c r="H37" s="108"/>
      <c r="I37" s="376"/>
      <c r="J37" s="206"/>
      <c r="K37" s="381"/>
      <c r="L37" s="109"/>
      <c r="M37" s="166"/>
    </row>
    <row r="38" spans="1:13" ht="45" customHeight="1" x14ac:dyDescent="0.25">
      <c r="A38" s="17">
        <f t="shared" si="1"/>
        <v>25</v>
      </c>
      <c r="B38" s="139"/>
      <c r="C38" s="88"/>
      <c r="D38" s="112"/>
      <c r="E38" s="378"/>
      <c r="F38" s="114"/>
      <c r="G38" s="96"/>
      <c r="H38" s="108"/>
      <c r="I38" s="376"/>
      <c r="J38" s="202"/>
      <c r="K38" s="381"/>
      <c r="L38" s="203"/>
      <c r="M38" s="166"/>
    </row>
    <row r="39" spans="1:13" ht="45" customHeight="1" x14ac:dyDescent="0.25">
      <c r="A39" s="17">
        <f t="shared" si="1"/>
        <v>26</v>
      </c>
      <c r="B39" s="110"/>
      <c r="C39" s="88"/>
      <c r="D39" s="111"/>
      <c r="E39" s="378"/>
      <c r="F39" s="379"/>
      <c r="G39" s="96"/>
      <c r="H39" s="377"/>
      <c r="I39" s="376"/>
      <c r="J39" s="231"/>
      <c r="K39" s="382"/>
      <c r="L39" s="109"/>
      <c r="M39" s="167"/>
    </row>
    <row r="40" spans="1:13" ht="45" customHeight="1" x14ac:dyDescent="0.25">
      <c r="A40" s="17">
        <f t="shared" si="1"/>
        <v>27</v>
      </c>
      <c r="B40" s="139"/>
      <c r="C40" s="88"/>
      <c r="D40" s="112"/>
      <c r="E40" s="378"/>
      <c r="F40" s="380"/>
      <c r="G40" s="96"/>
      <c r="H40" s="97"/>
      <c r="I40" s="376"/>
      <c r="J40" s="232"/>
      <c r="K40" s="383"/>
      <c r="L40" s="165"/>
      <c r="M40" s="166"/>
    </row>
    <row r="41" spans="1:13" ht="45" customHeight="1" x14ac:dyDescent="0.25">
      <c r="A41" s="17">
        <f t="shared" si="1"/>
        <v>28</v>
      </c>
      <c r="B41" s="110"/>
      <c r="C41" s="88"/>
      <c r="D41" s="111"/>
      <c r="E41" s="378"/>
      <c r="F41" s="379"/>
      <c r="G41" s="96"/>
      <c r="H41" s="377"/>
      <c r="I41" s="376"/>
      <c r="J41" s="231"/>
      <c r="K41" s="382"/>
      <c r="L41" s="109"/>
      <c r="M41" s="167"/>
    </row>
    <row r="42" spans="1:13" ht="45" customHeight="1" x14ac:dyDescent="0.25">
      <c r="A42" s="17">
        <f t="shared" si="1"/>
        <v>29</v>
      </c>
      <c r="B42" s="139"/>
      <c r="C42" s="88"/>
      <c r="D42" s="112"/>
      <c r="E42" s="378"/>
      <c r="F42" s="380"/>
      <c r="G42" s="96"/>
      <c r="H42" s="97"/>
      <c r="I42" s="376"/>
      <c r="J42" s="206"/>
      <c r="K42" s="383"/>
      <c r="L42" s="168"/>
      <c r="M42" s="166"/>
    </row>
    <row r="43" spans="1:13" ht="45" customHeight="1" x14ac:dyDescent="0.25">
      <c r="A43" s="17">
        <f t="shared" si="1"/>
        <v>30</v>
      </c>
      <c r="B43" s="110"/>
      <c r="C43" s="88"/>
      <c r="D43" s="111"/>
      <c r="E43" s="378"/>
      <c r="F43" s="379"/>
      <c r="G43" s="96"/>
      <c r="H43" s="377"/>
      <c r="I43" s="376"/>
      <c r="J43" s="231"/>
      <c r="K43" s="383"/>
      <c r="L43" s="109"/>
      <c r="M43" s="166"/>
    </row>
    <row r="44" spans="1:13" ht="45" customHeight="1" x14ac:dyDescent="0.25">
      <c r="A44" s="17">
        <f t="shared" si="1"/>
        <v>31</v>
      </c>
      <c r="B44" s="139"/>
      <c r="C44" s="88"/>
      <c r="D44" s="112"/>
      <c r="E44" s="378"/>
      <c r="F44" s="380"/>
      <c r="G44" s="96"/>
      <c r="H44" s="97"/>
      <c r="I44" s="376"/>
      <c r="J44" s="232"/>
      <c r="K44" s="383"/>
      <c r="L44" s="165"/>
      <c r="M44" s="166"/>
    </row>
    <row r="45" spans="1:13" ht="45" customHeight="1" x14ac:dyDescent="0.25">
      <c r="A45" s="17">
        <f t="shared" si="1"/>
        <v>32</v>
      </c>
      <c r="B45" s="110"/>
      <c r="C45" s="88"/>
      <c r="D45" s="111"/>
      <c r="E45" s="378"/>
      <c r="F45" s="379"/>
      <c r="G45" s="96"/>
      <c r="H45" s="377"/>
      <c r="I45" s="376"/>
      <c r="J45" s="231"/>
      <c r="K45" s="382"/>
      <c r="L45" s="109"/>
      <c r="M45" s="167"/>
    </row>
    <row r="46" spans="1:13" ht="45" customHeight="1" x14ac:dyDescent="0.25">
      <c r="A46" s="17">
        <f t="shared" si="1"/>
        <v>33</v>
      </c>
      <c r="B46" s="139"/>
      <c r="C46" s="88"/>
      <c r="D46" s="112"/>
      <c r="E46" s="378"/>
      <c r="F46" s="380"/>
      <c r="G46" s="96"/>
      <c r="H46" s="97"/>
      <c r="I46" s="376"/>
      <c r="J46" s="232"/>
      <c r="K46" s="383"/>
      <c r="L46" s="165"/>
      <c r="M46" s="166"/>
    </row>
    <row r="47" spans="1:13" ht="45" customHeight="1" x14ac:dyDescent="0.25">
      <c r="A47" s="17">
        <f t="shared" si="1"/>
        <v>34</v>
      </c>
      <c r="B47" s="110"/>
      <c r="C47" s="88"/>
      <c r="D47" s="111"/>
      <c r="E47" s="378"/>
      <c r="F47" s="379"/>
      <c r="G47" s="96"/>
      <c r="H47" s="377"/>
      <c r="I47" s="376"/>
      <c r="J47" s="231"/>
      <c r="K47" s="382"/>
      <c r="L47" s="109"/>
      <c r="M47" s="167"/>
    </row>
    <row r="48" spans="1:13" ht="45" customHeight="1" x14ac:dyDescent="0.25">
      <c r="A48" s="17">
        <f t="shared" si="1"/>
        <v>35</v>
      </c>
      <c r="B48" s="139"/>
      <c r="C48" s="88"/>
      <c r="D48" s="112"/>
      <c r="E48" s="378"/>
      <c r="F48" s="380"/>
      <c r="G48" s="96"/>
      <c r="H48" s="97"/>
      <c r="I48" s="376"/>
      <c r="J48" s="232"/>
      <c r="K48" s="383"/>
      <c r="L48" s="165"/>
      <c r="M48" s="166"/>
    </row>
    <row r="49" spans="1:13" ht="45" customHeight="1" x14ac:dyDescent="0.25">
      <c r="A49" s="17">
        <f t="shared" si="1"/>
        <v>36</v>
      </c>
      <c r="B49" s="110"/>
      <c r="C49" s="88"/>
      <c r="D49" s="111"/>
      <c r="E49" s="378"/>
      <c r="F49" s="379"/>
      <c r="G49" s="96"/>
      <c r="H49" s="377"/>
      <c r="I49" s="376"/>
      <c r="J49" s="231"/>
      <c r="K49" s="382"/>
      <c r="L49" s="109"/>
      <c r="M49" s="167"/>
    </row>
    <row r="50" spans="1:13" ht="45" customHeight="1" x14ac:dyDescent="0.25">
      <c r="A50" s="17">
        <f t="shared" si="1"/>
        <v>37</v>
      </c>
      <c r="B50" s="139"/>
      <c r="C50" s="88"/>
      <c r="D50" s="112"/>
      <c r="E50" s="378"/>
      <c r="F50" s="380"/>
      <c r="G50" s="96"/>
      <c r="H50" s="97"/>
      <c r="I50" s="376"/>
      <c r="J50" s="232"/>
      <c r="K50" s="383"/>
      <c r="L50" s="165"/>
      <c r="M50" s="166"/>
    </row>
    <row r="51" spans="1:13" ht="45" customHeight="1" x14ac:dyDescent="0.25">
      <c r="A51" s="17">
        <f t="shared" si="1"/>
        <v>38</v>
      </c>
      <c r="B51" s="110"/>
      <c r="C51" s="88"/>
      <c r="D51" s="111"/>
      <c r="E51" s="378"/>
      <c r="F51" s="379"/>
      <c r="G51" s="96"/>
      <c r="H51" s="377"/>
      <c r="I51" s="376"/>
      <c r="J51" s="231"/>
      <c r="K51" s="382"/>
      <c r="L51" s="109"/>
      <c r="M51" s="167"/>
    </row>
    <row r="52" spans="1:13" ht="45" customHeight="1" x14ac:dyDescent="0.25">
      <c r="A52" s="17">
        <f t="shared" si="1"/>
        <v>39</v>
      </c>
      <c r="B52" s="139"/>
      <c r="C52" s="88"/>
      <c r="D52" s="112"/>
      <c r="E52" s="378"/>
      <c r="F52" s="380"/>
      <c r="G52" s="96"/>
      <c r="H52" s="97"/>
      <c r="I52" s="376"/>
      <c r="J52" s="206"/>
      <c r="K52" s="383"/>
      <c r="L52" s="168"/>
      <c r="M52" s="166"/>
    </row>
    <row r="53" spans="1:13" ht="45" customHeight="1" x14ac:dyDescent="0.25">
      <c r="A53" s="17">
        <f t="shared" si="1"/>
        <v>40</v>
      </c>
      <c r="B53" s="110"/>
      <c r="C53" s="88"/>
      <c r="D53" s="111"/>
      <c r="E53" s="378"/>
      <c r="F53" s="379"/>
      <c r="G53" s="96"/>
      <c r="H53" s="377"/>
      <c r="I53" s="376"/>
      <c r="J53" s="231"/>
      <c r="K53" s="383"/>
      <c r="L53" s="109"/>
      <c r="M53" s="166"/>
    </row>
    <row r="54" spans="1:13" ht="45" customHeight="1" x14ac:dyDescent="0.25">
      <c r="A54" s="17">
        <f t="shared" si="1"/>
        <v>41</v>
      </c>
      <c r="B54" s="139"/>
      <c r="C54" s="88"/>
      <c r="D54" s="112"/>
      <c r="E54" s="378"/>
      <c r="F54" s="380"/>
      <c r="G54" s="96"/>
      <c r="H54" s="97"/>
      <c r="I54" s="376"/>
      <c r="J54" s="232"/>
      <c r="K54" s="383"/>
      <c r="L54" s="165"/>
      <c r="M54" s="166"/>
    </row>
    <row r="55" spans="1:13" ht="45" customHeight="1" x14ac:dyDescent="0.25">
      <c r="A55" s="17">
        <f t="shared" si="1"/>
        <v>42</v>
      </c>
      <c r="B55" s="110"/>
      <c r="C55" s="88"/>
      <c r="D55" s="111"/>
      <c r="E55" s="378"/>
      <c r="F55" s="379"/>
      <c r="G55" s="96"/>
      <c r="H55" s="377"/>
      <c r="I55" s="376"/>
      <c r="J55" s="231"/>
      <c r="K55" s="382"/>
      <c r="L55" s="109"/>
      <c r="M55" s="167"/>
    </row>
    <row r="56" spans="1:13" ht="45" customHeight="1" x14ac:dyDescent="0.25">
      <c r="A56" s="17">
        <f t="shared" si="1"/>
        <v>43</v>
      </c>
      <c r="B56" s="139"/>
      <c r="C56" s="88"/>
      <c r="D56" s="112"/>
      <c r="E56" s="378"/>
      <c r="F56" s="380"/>
      <c r="G56" s="96"/>
      <c r="H56" s="97"/>
      <c r="I56" s="376"/>
      <c r="J56" s="232"/>
      <c r="K56" s="383"/>
      <c r="L56" s="165"/>
      <c r="M56" s="166"/>
    </row>
    <row r="57" spans="1:13" ht="45" customHeight="1" x14ac:dyDescent="0.25">
      <c r="A57" s="17">
        <f t="shared" si="1"/>
        <v>44</v>
      </c>
      <c r="B57" s="110"/>
      <c r="C57" s="88"/>
      <c r="D57" s="111"/>
      <c r="E57" s="378"/>
      <c r="F57" s="379"/>
      <c r="G57" s="96"/>
      <c r="H57" s="377"/>
      <c r="I57" s="376"/>
      <c r="J57" s="231"/>
      <c r="K57" s="382"/>
      <c r="L57" s="109"/>
      <c r="M57" s="167"/>
    </row>
    <row r="58" spans="1:13" ht="45" customHeight="1" x14ac:dyDescent="0.25">
      <c r="A58" s="17">
        <f t="shared" si="1"/>
        <v>45</v>
      </c>
      <c r="B58" s="139"/>
      <c r="C58" s="88"/>
      <c r="D58" s="112"/>
      <c r="E58" s="378"/>
      <c r="F58" s="380"/>
      <c r="G58" s="96"/>
      <c r="H58" s="97"/>
      <c r="I58" s="376"/>
      <c r="J58" s="232"/>
      <c r="K58" s="383"/>
      <c r="L58" s="165"/>
      <c r="M58" s="166"/>
    </row>
    <row r="59" spans="1:13" ht="45" customHeight="1" x14ac:dyDescent="0.25">
      <c r="A59" s="17">
        <f t="shared" si="1"/>
        <v>46</v>
      </c>
      <c r="B59" s="110"/>
      <c r="C59" s="88"/>
      <c r="D59" s="111"/>
      <c r="E59" s="378"/>
      <c r="F59" s="379"/>
      <c r="G59" s="96"/>
      <c r="H59" s="377"/>
      <c r="I59" s="376"/>
      <c r="J59" s="231"/>
      <c r="K59" s="382"/>
      <c r="L59" s="109"/>
      <c r="M59" s="167"/>
    </row>
    <row r="60" spans="1:13" ht="45" customHeight="1" x14ac:dyDescent="0.25">
      <c r="A60" s="17">
        <f t="shared" si="1"/>
        <v>47</v>
      </c>
      <c r="B60" s="139"/>
      <c r="C60" s="88"/>
      <c r="D60" s="112"/>
      <c r="E60" s="378"/>
      <c r="F60" s="380"/>
      <c r="G60" s="96"/>
      <c r="H60" s="97"/>
      <c r="I60" s="376"/>
      <c r="J60" s="232"/>
      <c r="K60" s="383"/>
      <c r="L60" s="165"/>
      <c r="M60" s="166"/>
    </row>
    <row r="61" spans="1:13" ht="45" customHeight="1" x14ac:dyDescent="0.25">
      <c r="A61" s="17">
        <f t="shared" si="1"/>
        <v>48</v>
      </c>
      <c r="B61" s="110"/>
      <c r="C61" s="88"/>
      <c r="D61" s="111"/>
      <c r="E61" s="378"/>
      <c r="F61" s="379"/>
      <c r="G61" s="96"/>
      <c r="H61" s="377"/>
      <c r="I61" s="376"/>
      <c r="J61" s="231"/>
      <c r="K61" s="382"/>
      <c r="L61" s="109"/>
      <c r="M61" s="167"/>
    </row>
    <row r="62" spans="1:13" ht="45" customHeight="1" x14ac:dyDescent="0.25">
      <c r="A62" s="17">
        <f t="shared" si="1"/>
        <v>49</v>
      </c>
      <c r="B62" s="139"/>
      <c r="C62" s="88"/>
      <c r="D62" s="112"/>
      <c r="E62" s="378"/>
      <c r="F62" s="380"/>
      <c r="G62" s="96"/>
      <c r="H62" s="97"/>
      <c r="I62" s="376"/>
      <c r="J62" s="206"/>
      <c r="K62" s="383"/>
      <c r="L62" s="168"/>
      <c r="M62" s="166"/>
    </row>
    <row r="63" spans="1:13" ht="45" customHeight="1" x14ac:dyDescent="0.25">
      <c r="A63" s="17">
        <f t="shared" si="1"/>
        <v>50</v>
      </c>
      <c r="B63" s="110"/>
      <c r="C63" s="88"/>
      <c r="D63" s="111"/>
      <c r="E63" s="378"/>
      <c r="F63" s="379"/>
      <c r="G63" s="96"/>
      <c r="H63" s="377"/>
      <c r="I63" s="376"/>
      <c r="J63" s="231"/>
      <c r="K63" s="383"/>
      <c r="L63" s="109"/>
      <c r="M63" s="166"/>
    </row>
    <row r="64" spans="1:13" ht="45" customHeight="1" x14ac:dyDescent="0.25">
      <c r="A64" s="17">
        <f t="shared" si="1"/>
        <v>51</v>
      </c>
      <c r="B64" s="139"/>
      <c r="C64" s="88"/>
      <c r="D64" s="112"/>
      <c r="E64" s="378"/>
      <c r="F64" s="380"/>
      <c r="G64" s="96"/>
      <c r="H64" s="97"/>
      <c r="I64" s="376"/>
      <c r="J64" s="232"/>
      <c r="K64" s="383"/>
      <c r="L64" s="165"/>
      <c r="M64" s="166"/>
    </row>
    <row r="65" spans="1:13" ht="45" customHeight="1" x14ac:dyDescent="0.25">
      <c r="A65" s="17">
        <f t="shared" si="1"/>
        <v>52</v>
      </c>
      <c r="B65" s="110"/>
      <c r="C65" s="88"/>
      <c r="D65" s="111"/>
      <c r="E65" s="378"/>
      <c r="F65" s="379"/>
      <c r="G65" s="96"/>
      <c r="H65" s="377"/>
      <c r="I65" s="376"/>
      <c r="J65" s="231"/>
      <c r="K65" s="382"/>
      <c r="L65" s="109"/>
      <c r="M65" s="167"/>
    </row>
    <row r="66" spans="1:13" ht="45" customHeight="1" x14ac:dyDescent="0.25">
      <c r="A66" s="17">
        <f t="shared" si="1"/>
        <v>53</v>
      </c>
      <c r="B66" s="139"/>
      <c r="C66" s="88"/>
      <c r="D66" s="112"/>
      <c r="E66" s="378"/>
      <c r="F66" s="380"/>
      <c r="G66" s="96"/>
      <c r="H66" s="97"/>
      <c r="I66" s="376"/>
      <c r="J66" s="232"/>
      <c r="K66" s="383"/>
      <c r="L66" s="165"/>
      <c r="M66" s="166"/>
    </row>
    <row r="67" spans="1:13" ht="45" customHeight="1" x14ac:dyDescent="0.25">
      <c r="A67" s="17">
        <f t="shared" si="1"/>
        <v>54</v>
      </c>
      <c r="B67" s="110"/>
      <c r="C67" s="88"/>
      <c r="D67" s="111"/>
      <c r="E67" s="378"/>
      <c r="F67" s="379"/>
      <c r="G67" s="96"/>
      <c r="H67" s="377"/>
      <c r="I67" s="376"/>
      <c r="J67" s="231"/>
      <c r="K67" s="382"/>
      <c r="L67" s="109"/>
      <c r="M67" s="167"/>
    </row>
    <row r="68" spans="1:13" ht="45" customHeight="1" x14ac:dyDescent="0.25">
      <c r="A68" s="17">
        <f t="shared" si="1"/>
        <v>55</v>
      </c>
      <c r="B68" s="139"/>
      <c r="C68" s="88"/>
      <c r="D68" s="112"/>
      <c r="E68" s="378"/>
      <c r="F68" s="380"/>
      <c r="G68" s="96"/>
      <c r="H68" s="97"/>
      <c r="I68" s="376"/>
      <c r="J68" s="232"/>
      <c r="K68" s="383"/>
      <c r="L68" s="165"/>
      <c r="M68" s="166"/>
    </row>
    <row r="69" spans="1:13" ht="45" customHeight="1" x14ac:dyDescent="0.25">
      <c r="A69" s="17">
        <f t="shared" si="1"/>
        <v>56</v>
      </c>
      <c r="B69" s="110"/>
      <c r="C69" s="88"/>
      <c r="D69" s="111"/>
      <c r="E69" s="378"/>
      <c r="F69" s="379"/>
      <c r="G69" s="96"/>
      <c r="H69" s="377"/>
      <c r="I69" s="376"/>
      <c r="J69" s="231"/>
      <c r="K69" s="382"/>
      <c r="L69" s="109"/>
      <c r="M69" s="167"/>
    </row>
    <row r="70" spans="1:13" ht="45" customHeight="1" x14ac:dyDescent="0.25">
      <c r="A70" s="17">
        <f t="shared" si="1"/>
        <v>57</v>
      </c>
      <c r="B70" s="139"/>
      <c r="C70" s="88"/>
      <c r="D70" s="112"/>
      <c r="E70" s="378"/>
      <c r="F70" s="380"/>
      <c r="G70" s="96"/>
      <c r="H70" s="97"/>
      <c r="I70" s="376"/>
      <c r="J70" s="232"/>
      <c r="K70" s="383"/>
      <c r="L70" s="165"/>
      <c r="M70" s="166"/>
    </row>
    <row r="71" spans="1:13" ht="45" customHeight="1" x14ac:dyDescent="0.25">
      <c r="A71" s="17">
        <f t="shared" si="1"/>
        <v>58</v>
      </c>
      <c r="B71" s="110"/>
      <c r="C71" s="88"/>
      <c r="D71" s="111"/>
      <c r="E71" s="378"/>
      <c r="F71" s="379"/>
      <c r="G71" s="96"/>
      <c r="H71" s="377"/>
      <c r="I71" s="376"/>
      <c r="J71" s="231"/>
      <c r="K71" s="382"/>
      <c r="L71" s="109"/>
      <c r="M71" s="167"/>
    </row>
    <row r="72" spans="1:13" ht="45" customHeight="1" x14ac:dyDescent="0.25">
      <c r="A72" s="17">
        <f t="shared" si="1"/>
        <v>59</v>
      </c>
      <c r="B72" s="139"/>
      <c r="C72" s="88"/>
      <c r="D72" s="112"/>
      <c r="E72" s="378"/>
      <c r="F72" s="380"/>
      <c r="G72" s="96"/>
      <c r="H72" s="97"/>
      <c r="I72" s="376"/>
      <c r="J72" s="206"/>
      <c r="K72" s="383"/>
      <c r="L72" s="168"/>
      <c r="M72" s="166"/>
    </row>
    <row r="73" spans="1:13" ht="45" customHeight="1" x14ac:dyDescent="0.25">
      <c r="A73" s="17">
        <f t="shared" si="1"/>
        <v>60</v>
      </c>
      <c r="B73" s="110"/>
      <c r="C73" s="88"/>
      <c r="D73" s="111"/>
      <c r="E73" s="378"/>
      <c r="F73" s="379"/>
      <c r="G73" s="96"/>
      <c r="H73" s="377"/>
      <c r="I73" s="376"/>
      <c r="J73" s="231"/>
      <c r="K73" s="383"/>
      <c r="L73" s="109"/>
      <c r="M73" s="166"/>
    </row>
    <row r="74" spans="1:13" ht="45" customHeight="1" x14ac:dyDescent="0.25">
      <c r="A74" s="17">
        <f t="shared" si="1"/>
        <v>61</v>
      </c>
      <c r="B74" s="139"/>
      <c r="C74" s="88"/>
      <c r="D74" s="112"/>
      <c r="E74" s="378"/>
      <c r="F74" s="380"/>
      <c r="G74" s="96"/>
      <c r="H74" s="97"/>
      <c r="I74" s="376"/>
      <c r="J74" s="232"/>
      <c r="K74" s="383"/>
      <c r="L74" s="165"/>
      <c r="M74" s="166"/>
    </row>
    <row r="75" spans="1:13" ht="45" customHeight="1" x14ac:dyDescent="0.25">
      <c r="A75" s="17">
        <f t="shared" si="1"/>
        <v>62</v>
      </c>
      <c r="B75" s="110"/>
      <c r="C75" s="88"/>
      <c r="D75" s="111"/>
      <c r="E75" s="378"/>
      <c r="F75" s="379"/>
      <c r="G75" s="96"/>
      <c r="H75" s="377"/>
      <c r="I75" s="376"/>
      <c r="J75" s="231"/>
      <c r="K75" s="382"/>
      <c r="L75" s="109"/>
      <c r="M75" s="167"/>
    </row>
    <row r="76" spans="1:13" ht="45" customHeight="1" x14ac:dyDescent="0.25">
      <c r="A76" s="17">
        <f t="shared" si="1"/>
        <v>63</v>
      </c>
      <c r="B76" s="139"/>
      <c r="C76" s="88"/>
      <c r="D76" s="112"/>
      <c r="E76" s="378"/>
      <c r="F76" s="380"/>
      <c r="G76" s="96"/>
      <c r="H76" s="97"/>
      <c r="I76" s="376"/>
      <c r="J76" s="232"/>
      <c r="K76" s="383"/>
      <c r="L76" s="165"/>
      <c r="M76" s="166"/>
    </row>
    <row r="77" spans="1:13" ht="45" customHeight="1" x14ac:dyDescent="0.25">
      <c r="A77" s="17">
        <f t="shared" si="1"/>
        <v>64</v>
      </c>
      <c r="B77" s="110"/>
      <c r="C77" s="88"/>
      <c r="D77" s="111"/>
      <c r="E77" s="378"/>
      <c r="F77" s="379"/>
      <c r="G77" s="96"/>
      <c r="H77" s="377"/>
      <c r="I77" s="376"/>
      <c r="J77" s="231"/>
      <c r="K77" s="382"/>
      <c r="L77" s="109"/>
      <c r="M77" s="167"/>
    </row>
    <row r="78" spans="1:13" ht="45" customHeight="1" x14ac:dyDescent="0.25">
      <c r="A78" s="17">
        <f t="shared" ref="A78:A141" si="2">ROW(A65)</f>
        <v>65</v>
      </c>
      <c r="B78" s="139"/>
      <c r="C78" s="88"/>
      <c r="D78" s="112"/>
      <c r="E78" s="378"/>
      <c r="F78" s="380"/>
      <c r="G78" s="96"/>
      <c r="H78" s="97"/>
      <c r="I78" s="376"/>
      <c r="J78" s="232"/>
      <c r="K78" s="383"/>
      <c r="L78" s="165"/>
      <c r="M78" s="166"/>
    </row>
    <row r="79" spans="1:13" ht="45" customHeight="1" x14ac:dyDescent="0.25">
      <c r="A79" s="17">
        <f t="shared" si="2"/>
        <v>66</v>
      </c>
      <c r="B79" s="110"/>
      <c r="C79" s="88"/>
      <c r="D79" s="111"/>
      <c r="E79" s="378"/>
      <c r="F79" s="379"/>
      <c r="G79" s="96"/>
      <c r="H79" s="377"/>
      <c r="I79" s="376"/>
      <c r="J79" s="231"/>
      <c r="K79" s="382"/>
      <c r="L79" s="109"/>
      <c r="M79" s="167"/>
    </row>
    <row r="80" spans="1:13" ht="45" customHeight="1" x14ac:dyDescent="0.25">
      <c r="A80" s="17">
        <f t="shared" si="2"/>
        <v>67</v>
      </c>
      <c r="B80" s="139"/>
      <c r="C80" s="88"/>
      <c r="D80" s="112"/>
      <c r="E80" s="378"/>
      <c r="F80" s="380"/>
      <c r="G80" s="96"/>
      <c r="H80" s="97"/>
      <c r="I80" s="376"/>
      <c r="J80" s="232"/>
      <c r="K80" s="383"/>
      <c r="L80" s="165"/>
      <c r="M80" s="166"/>
    </row>
    <row r="81" spans="1:13" ht="45" customHeight="1" x14ac:dyDescent="0.25">
      <c r="A81" s="17">
        <f t="shared" si="2"/>
        <v>68</v>
      </c>
      <c r="B81" s="110"/>
      <c r="C81" s="88"/>
      <c r="D81" s="111"/>
      <c r="E81" s="378"/>
      <c r="F81" s="379"/>
      <c r="G81" s="96"/>
      <c r="H81" s="377"/>
      <c r="I81" s="376"/>
      <c r="J81" s="231"/>
      <c r="K81" s="382"/>
      <c r="L81" s="109"/>
      <c r="M81" s="167"/>
    </row>
    <row r="82" spans="1:13" ht="45" customHeight="1" x14ac:dyDescent="0.25">
      <c r="A82" s="17">
        <f t="shared" si="2"/>
        <v>69</v>
      </c>
      <c r="B82" s="139"/>
      <c r="C82" s="88"/>
      <c r="D82" s="112"/>
      <c r="E82" s="378"/>
      <c r="F82" s="380"/>
      <c r="G82" s="96"/>
      <c r="H82" s="97"/>
      <c r="I82" s="376"/>
      <c r="J82" s="206"/>
      <c r="K82" s="383"/>
      <c r="L82" s="168"/>
      <c r="M82" s="166"/>
    </row>
    <row r="83" spans="1:13" ht="45" customHeight="1" x14ac:dyDescent="0.25">
      <c r="A83" s="17">
        <f t="shared" si="2"/>
        <v>70</v>
      </c>
      <c r="B83" s="110"/>
      <c r="C83" s="88"/>
      <c r="D83" s="111"/>
      <c r="E83" s="378"/>
      <c r="F83" s="379"/>
      <c r="G83" s="96"/>
      <c r="H83" s="377"/>
      <c r="I83" s="376"/>
      <c r="J83" s="231"/>
      <c r="K83" s="383"/>
      <c r="L83" s="109"/>
      <c r="M83" s="166"/>
    </row>
    <row r="84" spans="1:13" ht="45" customHeight="1" x14ac:dyDescent="0.25">
      <c r="A84" s="17">
        <f t="shared" si="2"/>
        <v>71</v>
      </c>
      <c r="B84" s="139"/>
      <c r="C84" s="88"/>
      <c r="D84" s="112"/>
      <c r="E84" s="378"/>
      <c r="F84" s="380"/>
      <c r="G84" s="96"/>
      <c r="H84" s="97"/>
      <c r="I84" s="376"/>
      <c r="J84" s="232"/>
      <c r="K84" s="383"/>
      <c r="L84" s="165"/>
      <c r="M84" s="166"/>
    </row>
    <row r="85" spans="1:13" ht="45" customHeight="1" x14ac:dyDescent="0.25">
      <c r="A85" s="17">
        <f t="shared" si="2"/>
        <v>72</v>
      </c>
      <c r="B85" s="110"/>
      <c r="C85" s="88"/>
      <c r="D85" s="111"/>
      <c r="E85" s="378"/>
      <c r="F85" s="379"/>
      <c r="G85" s="96"/>
      <c r="H85" s="377"/>
      <c r="I85" s="376"/>
      <c r="J85" s="231"/>
      <c r="K85" s="382"/>
      <c r="L85" s="109"/>
      <c r="M85" s="167"/>
    </row>
    <row r="86" spans="1:13" ht="45" customHeight="1" x14ac:dyDescent="0.25">
      <c r="A86" s="17">
        <f t="shared" si="2"/>
        <v>73</v>
      </c>
      <c r="B86" s="139"/>
      <c r="C86" s="88"/>
      <c r="D86" s="112"/>
      <c r="E86" s="378"/>
      <c r="F86" s="380"/>
      <c r="G86" s="96"/>
      <c r="H86" s="97"/>
      <c r="I86" s="376"/>
      <c r="J86" s="232"/>
      <c r="K86" s="383"/>
      <c r="L86" s="165"/>
      <c r="M86" s="166"/>
    </row>
    <row r="87" spans="1:13" ht="45" customHeight="1" x14ac:dyDescent="0.25">
      <c r="A87" s="17">
        <f t="shared" si="2"/>
        <v>74</v>
      </c>
      <c r="B87" s="110"/>
      <c r="C87" s="88"/>
      <c r="D87" s="111"/>
      <c r="E87" s="378"/>
      <c r="F87" s="379"/>
      <c r="G87" s="96"/>
      <c r="H87" s="377"/>
      <c r="I87" s="376"/>
      <c r="J87" s="231"/>
      <c r="K87" s="382"/>
      <c r="L87" s="109"/>
      <c r="M87" s="167"/>
    </row>
    <row r="88" spans="1:13" ht="45" customHeight="1" x14ac:dyDescent="0.25">
      <c r="A88" s="17">
        <f t="shared" si="2"/>
        <v>75</v>
      </c>
      <c r="B88" s="139"/>
      <c r="C88" s="88"/>
      <c r="D88" s="112"/>
      <c r="E88" s="378"/>
      <c r="F88" s="380"/>
      <c r="G88" s="96"/>
      <c r="H88" s="97"/>
      <c r="I88" s="376"/>
      <c r="J88" s="232"/>
      <c r="K88" s="383"/>
      <c r="L88" s="165"/>
      <c r="M88" s="166"/>
    </row>
    <row r="89" spans="1:13" ht="45" customHeight="1" x14ac:dyDescent="0.25">
      <c r="A89" s="17">
        <f t="shared" si="2"/>
        <v>76</v>
      </c>
      <c r="B89" s="110"/>
      <c r="C89" s="88"/>
      <c r="D89" s="111"/>
      <c r="E89" s="378"/>
      <c r="F89" s="379"/>
      <c r="G89" s="96"/>
      <c r="H89" s="377"/>
      <c r="I89" s="376"/>
      <c r="J89" s="231"/>
      <c r="K89" s="382"/>
      <c r="L89" s="109"/>
      <c r="M89" s="167"/>
    </row>
    <row r="90" spans="1:13" ht="45" customHeight="1" x14ac:dyDescent="0.25">
      <c r="A90" s="17">
        <f t="shared" si="2"/>
        <v>77</v>
      </c>
      <c r="B90" s="139"/>
      <c r="C90" s="88"/>
      <c r="D90" s="112"/>
      <c r="E90" s="378"/>
      <c r="F90" s="380"/>
      <c r="G90" s="96"/>
      <c r="H90" s="97"/>
      <c r="I90" s="376"/>
      <c r="J90" s="232"/>
      <c r="K90" s="383"/>
      <c r="L90" s="165"/>
      <c r="M90" s="166"/>
    </row>
    <row r="91" spans="1:13" ht="45" customHeight="1" x14ac:dyDescent="0.25">
      <c r="A91" s="17">
        <f t="shared" si="2"/>
        <v>78</v>
      </c>
      <c r="B91" s="110"/>
      <c r="C91" s="88"/>
      <c r="D91" s="111"/>
      <c r="E91" s="378"/>
      <c r="F91" s="379"/>
      <c r="G91" s="96"/>
      <c r="H91" s="377"/>
      <c r="I91" s="376"/>
      <c r="J91" s="231"/>
      <c r="K91" s="382"/>
      <c r="L91" s="109"/>
      <c r="M91" s="167"/>
    </row>
    <row r="92" spans="1:13" ht="45" customHeight="1" x14ac:dyDescent="0.25">
      <c r="A92" s="17">
        <f t="shared" si="2"/>
        <v>79</v>
      </c>
      <c r="B92" s="139"/>
      <c r="C92" s="88"/>
      <c r="D92" s="112"/>
      <c r="E92" s="378"/>
      <c r="F92" s="380"/>
      <c r="G92" s="96"/>
      <c r="H92" s="97"/>
      <c r="I92" s="376"/>
      <c r="J92" s="206"/>
      <c r="K92" s="383"/>
      <c r="L92" s="168"/>
      <c r="M92" s="166"/>
    </row>
    <row r="93" spans="1:13" ht="45" customHeight="1" x14ac:dyDescent="0.25">
      <c r="A93" s="17">
        <f t="shared" si="2"/>
        <v>80</v>
      </c>
      <c r="B93" s="110"/>
      <c r="C93" s="88"/>
      <c r="D93" s="111"/>
      <c r="E93" s="378"/>
      <c r="F93" s="379"/>
      <c r="G93" s="96"/>
      <c r="H93" s="377"/>
      <c r="I93" s="376"/>
      <c r="J93" s="231"/>
      <c r="K93" s="383"/>
      <c r="L93" s="109"/>
      <c r="M93" s="166"/>
    </row>
    <row r="94" spans="1:13" ht="45" customHeight="1" x14ac:dyDescent="0.25">
      <c r="A94" s="17">
        <f t="shared" si="2"/>
        <v>81</v>
      </c>
      <c r="B94" s="139"/>
      <c r="C94" s="88"/>
      <c r="D94" s="112"/>
      <c r="E94" s="378"/>
      <c r="F94" s="380"/>
      <c r="G94" s="96"/>
      <c r="H94" s="97"/>
      <c r="I94" s="376"/>
      <c r="J94" s="232"/>
      <c r="K94" s="383"/>
      <c r="L94" s="165"/>
      <c r="M94" s="166"/>
    </row>
    <row r="95" spans="1:13" ht="45" customHeight="1" x14ac:dyDescent="0.25">
      <c r="A95" s="17">
        <f t="shared" si="2"/>
        <v>82</v>
      </c>
      <c r="B95" s="110"/>
      <c r="C95" s="88"/>
      <c r="D95" s="111"/>
      <c r="E95" s="378"/>
      <c r="F95" s="379"/>
      <c r="G95" s="96"/>
      <c r="H95" s="377"/>
      <c r="I95" s="376"/>
      <c r="J95" s="231"/>
      <c r="K95" s="382"/>
      <c r="L95" s="109"/>
      <c r="M95" s="167"/>
    </row>
    <row r="96" spans="1:13" ht="45" customHeight="1" x14ac:dyDescent="0.25">
      <c r="A96" s="17">
        <f t="shared" si="2"/>
        <v>83</v>
      </c>
      <c r="B96" s="139"/>
      <c r="C96" s="88"/>
      <c r="D96" s="112"/>
      <c r="E96" s="378"/>
      <c r="F96" s="380"/>
      <c r="G96" s="96"/>
      <c r="H96" s="97"/>
      <c r="I96" s="376"/>
      <c r="J96" s="232"/>
      <c r="K96" s="383"/>
      <c r="L96" s="165"/>
      <c r="M96" s="166"/>
    </row>
    <row r="97" spans="1:13" ht="45" customHeight="1" x14ac:dyDescent="0.25">
      <c r="A97" s="17">
        <f t="shared" si="2"/>
        <v>84</v>
      </c>
      <c r="B97" s="110"/>
      <c r="C97" s="88"/>
      <c r="D97" s="111"/>
      <c r="E97" s="378"/>
      <c r="F97" s="379"/>
      <c r="G97" s="96"/>
      <c r="H97" s="377"/>
      <c r="I97" s="376"/>
      <c r="J97" s="231"/>
      <c r="K97" s="382"/>
      <c r="L97" s="109"/>
      <c r="M97" s="167"/>
    </row>
    <row r="98" spans="1:13" ht="45" customHeight="1" x14ac:dyDescent="0.25">
      <c r="A98" s="17">
        <f t="shared" si="2"/>
        <v>85</v>
      </c>
      <c r="B98" s="139"/>
      <c r="C98" s="88"/>
      <c r="D98" s="112"/>
      <c r="E98" s="378"/>
      <c r="F98" s="380"/>
      <c r="G98" s="96"/>
      <c r="H98" s="97"/>
      <c r="I98" s="376"/>
      <c r="J98" s="232"/>
      <c r="K98" s="383"/>
      <c r="L98" s="165"/>
      <c r="M98" s="166"/>
    </row>
    <row r="99" spans="1:13" ht="45" customHeight="1" x14ac:dyDescent="0.25">
      <c r="A99" s="17">
        <f t="shared" si="2"/>
        <v>86</v>
      </c>
      <c r="B99" s="110"/>
      <c r="C99" s="88"/>
      <c r="D99" s="111"/>
      <c r="E99" s="378"/>
      <c r="F99" s="379"/>
      <c r="G99" s="96"/>
      <c r="H99" s="377"/>
      <c r="I99" s="376"/>
      <c r="J99" s="231"/>
      <c r="K99" s="382"/>
      <c r="L99" s="109"/>
      <c r="M99" s="167"/>
    </row>
    <row r="100" spans="1:13" ht="45" customHeight="1" x14ac:dyDescent="0.25">
      <c r="A100" s="17">
        <f t="shared" si="2"/>
        <v>87</v>
      </c>
      <c r="B100" s="139"/>
      <c r="C100" s="88"/>
      <c r="D100" s="112"/>
      <c r="E100" s="378"/>
      <c r="F100" s="380"/>
      <c r="G100" s="96"/>
      <c r="H100" s="97"/>
      <c r="I100" s="376"/>
      <c r="J100" s="232"/>
      <c r="K100" s="383"/>
      <c r="L100" s="165"/>
      <c r="M100" s="166"/>
    </row>
    <row r="101" spans="1:13" ht="45" customHeight="1" x14ac:dyDescent="0.25">
      <c r="A101" s="17">
        <f t="shared" si="2"/>
        <v>88</v>
      </c>
      <c r="B101" s="110"/>
      <c r="C101" s="88"/>
      <c r="D101" s="111"/>
      <c r="E101" s="378"/>
      <c r="F101" s="379"/>
      <c r="G101" s="96"/>
      <c r="H101" s="377"/>
      <c r="I101" s="376"/>
      <c r="J101" s="231"/>
      <c r="K101" s="382"/>
      <c r="L101" s="109"/>
      <c r="M101" s="167"/>
    </row>
    <row r="102" spans="1:13" ht="45" customHeight="1" x14ac:dyDescent="0.25">
      <c r="A102" s="17">
        <f t="shared" si="2"/>
        <v>89</v>
      </c>
      <c r="B102" s="139"/>
      <c r="C102" s="88"/>
      <c r="D102" s="112"/>
      <c r="E102" s="378"/>
      <c r="F102" s="380"/>
      <c r="G102" s="96"/>
      <c r="H102" s="97"/>
      <c r="I102" s="376"/>
      <c r="J102" s="206"/>
      <c r="K102" s="383"/>
      <c r="L102" s="168"/>
      <c r="M102" s="166"/>
    </row>
    <row r="103" spans="1:13" ht="45" customHeight="1" x14ac:dyDescent="0.25">
      <c r="A103" s="17">
        <f t="shared" si="2"/>
        <v>90</v>
      </c>
      <c r="B103" s="110"/>
      <c r="C103" s="88"/>
      <c r="D103" s="111"/>
      <c r="E103" s="378"/>
      <c r="F103" s="379"/>
      <c r="G103" s="96"/>
      <c r="H103" s="377"/>
      <c r="I103" s="376"/>
      <c r="J103" s="231"/>
      <c r="K103" s="383"/>
      <c r="L103" s="109"/>
      <c r="M103" s="166"/>
    </row>
    <row r="104" spans="1:13" ht="45" customHeight="1" x14ac:dyDescent="0.25">
      <c r="A104" s="17">
        <f t="shared" si="2"/>
        <v>91</v>
      </c>
      <c r="B104" s="139"/>
      <c r="C104" s="88"/>
      <c r="D104" s="112"/>
      <c r="E104" s="378"/>
      <c r="F104" s="380"/>
      <c r="G104" s="96"/>
      <c r="H104" s="97"/>
      <c r="I104" s="376"/>
      <c r="J104" s="232"/>
      <c r="K104" s="383"/>
      <c r="L104" s="165"/>
      <c r="M104" s="166"/>
    </row>
    <row r="105" spans="1:13" ht="45" customHeight="1" x14ac:dyDescent="0.25">
      <c r="A105" s="17">
        <f t="shared" si="2"/>
        <v>92</v>
      </c>
      <c r="B105" s="110"/>
      <c r="C105" s="88"/>
      <c r="D105" s="111"/>
      <c r="E105" s="378"/>
      <c r="F105" s="379"/>
      <c r="G105" s="96"/>
      <c r="H105" s="377"/>
      <c r="I105" s="376"/>
      <c r="J105" s="231"/>
      <c r="K105" s="382"/>
      <c r="L105" s="109"/>
      <c r="M105" s="167"/>
    </row>
    <row r="106" spans="1:13" ht="45" customHeight="1" x14ac:dyDescent="0.25">
      <c r="A106" s="17">
        <f t="shared" si="2"/>
        <v>93</v>
      </c>
      <c r="B106" s="139"/>
      <c r="C106" s="88"/>
      <c r="D106" s="112"/>
      <c r="E106" s="378"/>
      <c r="F106" s="380"/>
      <c r="G106" s="96"/>
      <c r="H106" s="97"/>
      <c r="I106" s="376"/>
      <c r="J106" s="232"/>
      <c r="K106" s="383"/>
      <c r="L106" s="165"/>
      <c r="M106" s="166"/>
    </row>
    <row r="107" spans="1:13" ht="45" customHeight="1" x14ac:dyDescent="0.25">
      <c r="A107" s="17">
        <f t="shared" si="2"/>
        <v>94</v>
      </c>
      <c r="B107" s="110"/>
      <c r="C107" s="88"/>
      <c r="D107" s="111"/>
      <c r="E107" s="378"/>
      <c r="F107" s="379"/>
      <c r="G107" s="96"/>
      <c r="H107" s="377"/>
      <c r="I107" s="376"/>
      <c r="J107" s="231"/>
      <c r="K107" s="382"/>
      <c r="L107" s="109"/>
      <c r="M107" s="167"/>
    </row>
    <row r="108" spans="1:13" ht="45" customHeight="1" x14ac:dyDescent="0.25">
      <c r="A108" s="17">
        <f t="shared" si="2"/>
        <v>95</v>
      </c>
      <c r="B108" s="139"/>
      <c r="C108" s="88"/>
      <c r="D108" s="112"/>
      <c r="E108" s="378"/>
      <c r="F108" s="380"/>
      <c r="G108" s="96"/>
      <c r="H108" s="97"/>
      <c r="I108" s="376"/>
      <c r="J108" s="232"/>
      <c r="K108" s="383"/>
      <c r="L108" s="165"/>
      <c r="M108" s="166"/>
    </row>
    <row r="109" spans="1:13" ht="45" customHeight="1" x14ac:dyDescent="0.25">
      <c r="A109" s="17">
        <f t="shared" si="2"/>
        <v>96</v>
      </c>
      <c r="B109" s="110"/>
      <c r="C109" s="88"/>
      <c r="D109" s="111"/>
      <c r="E109" s="378"/>
      <c r="F109" s="379"/>
      <c r="G109" s="96"/>
      <c r="H109" s="377"/>
      <c r="I109" s="376"/>
      <c r="J109" s="231"/>
      <c r="K109" s="382"/>
      <c r="L109" s="109"/>
      <c r="M109" s="167"/>
    </row>
    <row r="110" spans="1:13" ht="45" customHeight="1" x14ac:dyDescent="0.25">
      <c r="A110" s="17">
        <f t="shared" si="2"/>
        <v>97</v>
      </c>
      <c r="B110" s="139"/>
      <c r="C110" s="88"/>
      <c r="D110" s="112"/>
      <c r="E110" s="378"/>
      <c r="F110" s="380"/>
      <c r="G110" s="96"/>
      <c r="H110" s="97"/>
      <c r="I110" s="376"/>
      <c r="J110" s="232"/>
      <c r="K110" s="383"/>
      <c r="L110" s="165"/>
      <c r="M110" s="166"/>
    </row>
    <row r="111" spans="1:13" ht="45" customHeight="1" x14ac:dyDescent="0.25">
      <c r="A111" s="17">
        <f t="shared" si="2"/>
        <v>98</v>
      </c>
      <c r="B111" s="110"/>
      <c r="C111" s="88"/>
      <c r="D111" s="111"/>
      <c r="E111" s="378"/>
      <c r="F111" s="379"/>
      <c r="G111" s="96"/>
      <c r="H111" s="377"/>
      <c r="I111" s="376"/>
      <c r="J111" s="231"/>
      <c r="K111" s="382"/>
      <c r="L111" s="109"/>
      <c r="M111" s="167"/>
    </row>
    <row r="112" spans="1:13" ht="45" customHeight="1" x14ac:dyDescent="0.25">
      <c r="A112" s="17">
        <f t="shared" si="2"/>
        <v>99</v>
      </c>
      <c r="B112" s="139"/>
      <c r="C112" s="88"/>
      <c r="D112" s="112"/>
      <c r="E112" s="378"/>
      <c r="F112" s="380"/>
      <c r="G112" s="96"/>
      <c r="H112" s="97"/>
      <c r="I112" s="376"/>
      <c r="J112" s="206"/>
      <c r="K112" s="383"/>
      <c r="L112" s="168"/>
      <c r="M112" s="166"/>
    </row>
    <row r="113" spans="1:13" ht="45" customHeight="1" x14ac:dyDescent="0.25">
      <c r="A113" s="17">
        <f t="shared" si="2"/>
        <v>100</v>
      </c>
      <c r="B113" s="110"/>
      <c r="C113" s="88"/>
      <c r="D113" s="111"/>
      <c r="E113" s="378"/>
      <c r="F113" s="379"/>
      <c r="G113" s="96"/>
      <c r="H113" s="377"/>
      <c r="I113" s="376"/>
      <c r="J113" s="231"/>
      <c r="K113" s="383"/>
      <c r="L113" s="109"/>
      <c r="M113" s="166"/>
    </row>
    <row r="114" spans="1:13" ht="45" customHeight="1" x14ac:dyDescent="0.25">
      <c r="A114" s="17">
        <f t="shared" si="2"/>
        <v>101</v>
      </c>
      <c r="B114" s="139"/>
      <c r="C114" s="88"/>
      <c r="D114" s="112"/>
      <c r="E114" s="378"/>
      <c r="F114" s="380"/>
      <c r="G114" s="96"/>
      <c r="H114" s="97"/>
      <c r="I114" s="376"/>
      <c r="J114" s="232"/>
      <c r="K114" s="383"/>
      <c r="L114" s="165"/>
      <c r="M114" s="166"/>
    </row>
    <row r="115" spans="1:13" ht="45" customHeight="1" x14ac:dyDescent="0.25">
      <c r="A115" s="17">
        <f t="shared" si="2"/>
        <v>102</v>
      </c>
      <c r="B115" s="110"/>
      <c r="C115" s="88"/>
      <c r="D115" s="111"/>
      <c r="E115" s="378"/>
      <c r="F115" s="379"/>
      <c r="G115" s="96"/>
      <c r="H115" s="377"/>
      <c r="I115" s="376"/>
      <c r="J115" s="231"/>
      <c r="K115" s="382"/>
      <c r="L115" s="109"/>
      <c r="M115" s="167"/>
    </row>
    <row r="116" spans="1:13" ht="45" customHeight="1" x14ac:dyDescent="0.25">
      <c r="A116" s="17">
        <f t="shared" si="2"/>
        <v>103</v>
      </c>
      <c r="B116" s="139"/>
      <c r="C116" s="88"/>
      <c r="D116" s="112"/>
      <c r="E116" s="378"/>
      <c r="F116" s="380"/>
      <c r="G116" s="96"/>
      <c r="H116" s="97"/>
      <c r="I116" s="376"/>
      <c r="J116" s="232"/>
      <c r="K116" s="383"/>
      <c r="L116" s="165"/>
      <c r="M116" s="166"/>
    </row>
    <row r="117" spans="1:13" ht="45" customHeight="1" x14ac:dyDescent="0.25">
      <c r="A117" s="17">
        <f t="shared" si="2"/>
        <v>104</v>
      </c>
      <c r="B117" s="110"/>
      <c r="C117" s="88"/>
      <c r="D117" s="111"/>
      <c r="E117" s="378"/>
      <c r="F117" s="379"/>
      <c r="G117" s="96"/>
      <c r="H117" s="377"/>
      <c r="I117" s="376"/>
      <c r="J117" s="231"/>
      <c r="K117" s="382"/>
      <c r="L117" s="109"/>
      <c r="M117" s="167"/>
    </row>
    <row r="118" spans="1:13" ht="45" customHeight="1" x14ac:dyDescent="0.25">
      <c r="A118" s="17">
        <f t="shared" si="2"/>
        <v>105</v>
      </c>
      <c r="B118" s="139"/>
      <c r="C118" s="88"/>
      <c r="D118" s="112"/>
      <c r="E118" s="378"/>
      <c r="F118" s="380"/>
      <c r="G118" s="96"/>
      <c r="H118" s="97"/>
      <c r="I118" s="376"/>
      <c r="J118" s="232"/>
      <c r="K118" s="383"/>
      <c r="L118" s="165"/>
      <c r="M118" s="166"/>
    </row>
    <row r="119" spans="1:13" ht="45" customHeight="1" x14ac:dyDescent="0.25">
      <c r="A119" s="17">
        <f t="shared" si="2"/>
        <v>106</v>
      </c>
      <c r="B119" s="110"/>
      <c r="C119" s="88"/>
      <c r="D119" s="111"/>
      <c r="E119" s="378"/>
      <c r="F119" s="379"/>
      <c r="G119" s="96"/>
      <c r="H119" s="377"/>
      <c r="I119" s="376"/>
      <c r="J119" s="231"/>
      <c r="K119" s="382"/>
      <c r="L119" s="109"/>
      <c r="M119" s="167"/>
    </row>
    <row r="120" spans="1:13" ht="45" customHeight="1" x14ac:dyDescent="0.25">
      <c r="A120" s="17">
        <f t="shared" si="2"/>
        <v>107</v>
      </c>
      <c r="B120" s="139"/>
      <c r="C120" s="88"/>
      <c r="D120" s="112"/>
      <c r="E120" s="378"/>
      <c r="F120" s="380"/>
      <c r="G120" s="96"/>
      <c r="H120" s="97"/>
      <c r="I120" s="376"/>
      <c r="J120" s="232"/>
      <c r="K120" s="383"/>
      <c r="L120" s="165"/>
      <c r="M120" s="166"/>
    </row>
    <row r="121" spans="1:13" ht="45" customHeight="1" x14ac:dyDescent="0.25">
      <c r="A121" s="17">
        <f t="shared" si="2"/>
        <v>108</v>
      </c>
      <c r="B121" s="110"/>
      <c r="C121" s="88"/>
      <c r="D121" s="111"/>
      <c r="E121" s="378"/>
      <c r="F121" s="379"/>
      <c r="G121" s="96"/>
      <c r="H121" s="377"/>
      <c r="I121" s="376"/>
      <c r="J121" s="231"/>
      <c r="K121" s="382"/>
      <c r="L121" s="109"/>
      <c r="M121" s="167"/>
    </row>
    <row r="122" spans="1:13" ht="45" customHeight="1" x14ac:dyDescent="0.25">
      <c r="A122" s="17">
        <f t="shared" si="2"/>
        <v>109</v>
      </c>
      <c r="B122" s="139"/>
      <c r="C122" s="88"/>
      <c r="D122" s="112"/>
      <c r="E122" s="378"/>
      <c r="F122" s="380"/>
      <c r="G122" s="96"/>
      <c r="H122" s="97"/>
      <c r="I122" s="376"/>
      <c r="J122" s="206"/>
      <c r="K122" s="383"/>
      <c r="L122" s="168"/>
      <c r="M122" s="166"/>
    </row>
    <row r="123" spans="1:13" ht="45" customHeight="1" x14ac:dyDescent="0.25">
      <c r="A123" s="17">
        <f t="shared" si="2"/>
        <v>110</v>
      </c>
      <c r="B123" s="110"/>
      <c r="C123" s="88"/>
      <c r="D123" s="111"/>
      <c r="E123" s="378"/>
      <c r="F123" s="379"/>
      <c r="G123" s="96"/>
      <c r="H123" s="377"/>
      <c r="I123" s="376"/>
      <c r="J123" s="231"/>
      <c r="K123" s="383"/>
      <c r="L123" s="109"/>
      <c r="M123" s="166"/>
    </row>
    <row r="124" spans="1:13" ht="45" customHeight="1" x14ac:dyDescent="0.25">
      <c r="A124" s="17">
        <f t="shared" si="2"/>
        <v>111</v>
      </c>
      <c r="B124" s="139"/>
      <c r="C124" s="88"/>
      <c r="D124" s="112"/>
      <c r="E124" s="378"/>
      <c r="F124" s="380"/>
      <c r="G124" s="96"/>
      <c r="H124" s="97"/>
      <c r="I124" s="376"/>
      <c r="J124" s="232"/>
      <c r="K124" s="383"/>
      <c r="L124" s="165"/>
      <c r="M124" s="166"/>
    </row>
    <row r="125" spans="1:13" ht="45" customHeight="1" x14ac:dyDescent="0.25">
      <c r="A125" s="17">
        <f t="shared" si="2"/>
        <v>112</v>
      </c>
      <c r="B125" s="110"/>
      <c r="C125" s="88"/>
      <c r="D125" s="111"/>
      <c r="E125" s="378"/>
      <c r="F125" s="379"/>
      <c r="G125" s="96"/>
      <c r="H125" s="377"/>
      <c r="I125" s="376"/>
      <c r="J125" s="231"/>
      <c r="K125" s="382"/>
      <c r="L125" s="109"/>
      <c r="M125" s="167"/>
    </row>
    <row r="126" spans="1:13" ht="45" customHeight="1" x14ac:dyDescent="0.25">
      <c r="A126" s="17">
        <f t="shared" si="2"/>
        <v>113</v>
      </c>
      <c r="B126" s="139"/>
      <c r="C126" s="88"/>
      <c r="D126" s="112"/>
      <c r="E126" s="378"/>
      <c r="F126" s="380"/>
      <c r="G126" s="96"/>
      <c r="H126" s="97"/>
      <c r="I126" s="376"/>
      <c r="J126" s="232"/>
      <c r="K126" s="383"/>
      <c r="L126" s="165"/>
      <c r="M126" s="166"/>
    </row>
    <row r="127" spans="1:13" ht="45" customHeight="1" x14ac:dyDescent="0.25">
      <c r="A127" s="17">
        <f t="shared" si="2"/>
        <v>114</v>
      </c>
      <c r="B127" s="110"/>
      <c r="C127" s="88"/>
      <c r="D127" s="111"/>
      <c r="E127" s="378"/>
      <c r="F127" s="379"/>
      <c r="G127" s="96"/>
      <c r="H127" s="377"/>
      <c r="I127" s="376"/>
      <c r="J127" s="231"/>
      <c r="K127" s="382"/>
      <c r="L127" s="109"/>
      <c r="M127" s="167"/>
    </row>
    <row r="128" spans="1:13" ht="45" customHeight="1" x14ac:dyDescent="0.25">
      <c r="A128" s="17">
        <f t="shared" si="2"/>
        <v>115</v>
      </c>
      <c r="B128" s="139"/>
      <c r="C128" s="88"/>
      <c r="D128" s="112"/>
      <c r="E128" s="378"/>
      <c r="F128" s="380"/>
      <c r="G128" s="96"/>
      <c r="H128" s="97"/>
      <c r="I128" s="376"/>
      <c r="J128" s="165"/>
      <c r="K128" s="383"/>
      <c r="L128" s="165"/>
      <c r="M128" s="166"/>
    </row>
    <row r="129" spans="1:13" ht="45" customHeight="1" x14ac:dyDescent="0.25">
      <c r="A129" s="17">
        <f t="shared" si="2"/>
        <v>116</v>
      </c>
      <c r="B129" s="110"/>
      <c r="C129" s="88"/>
      <c r="D129" s="111"/>
      <c r="E129" s="378"/>
      <c r="F129" s="379"/>
      <c r="G129" s="96"/>
      <c r="H129" s="377"/>
      <c r="I129" s="376"/>
      <c r="J129" s="109"/>
      <c r="K129" s="382"/>
      <c r="L129" s="109"/>
      <c r="M129" s="167"/>
    </row>
    <row r="130" spans="1:13" ht="45" customHeight="1" x14ac:dyDescent="0.25">
      <c r="A130" s="17">
        <f t="shared" si="2"/>
        <v>117</v>
      </c>
      <c r="B130" s="139"/>
      <c r="C130" s="88"/>
      <c r="D130" s="112"/>
      <c r="E130" s="378"/>
      <c r="F130" s="380"/>
      <c r="G130" s="96"/>
      <c r="H130" s="97"/>
      <c r="I130" s="376"/>
      <c r="J130" s="165"/>
      <c r="K130" s="383"/>
      <c r="L130" s="165"/>
      <c r="M130" s="166"/>
    </row>
    <row r="131" spans="1:13" ht="45" customHeight="1" x14ac:dyDescent="0.25">
      <c r="A131" s="17">
        <f t="shared" si="2"/>
        <v>118</v>
      </c>
      <c r="B131" s="110"/>
      <c r="C131" s="88"/>
      <c r="D131" s="111"/>
      <c r="E131" s="378"/>
      <c r="F131" s="379"/>
      <c r="G131" s="96"/>
      <c r="H131" s="377"/>
      <c r="I131" s="376"/>
      <c r="J131" s="109"/>
      <c r="K131" s="382"/>
      <c r="L131" s="109"/>
      <c r="M131" s="167"/>
    </row>
    <row r="132" spans="1:13" ht="45" customHeight="1" x14ac:dyDescent="0.25">
      <c r="A132" s="17">
        <f t="shared" si="2"/>
        <v>119</v>
      </c>
      <c r="B132" s="139"/>
      <c r="C132" s="88"/>
      <c r="D132" s="112"/>
      <c r="E132" s="378"/>
      <c r="F132" s="380"/>
      <c r="G132" s="96"/>
      <c r="H132" s="97"/>
      <c r="I132" s="376"/>
      <c r="J132" s="168"/>
      <c r="K132" s="383"/>
      <c r="L132" s="168"/>
      <c r="M132" s="166"/>
    </row>
    <row r="133" spans="1:13" ht="45" customHeight="1" x14ac:dyDescent="0.25">
      <c r="A133" s="17">
        <f t="shared" si="2"/>
        <v>120</v>
      </c>
      <c r="B133" s="110"/>
      <c r="C133" s="88"/>
      <c r="D133" s="111"/>
      <c r="E133" s="378"/>
      <c r="F133" s="379"/>
      <c r="G133" s="96"/>
      <c r="H133" s="377"/>
      <c r="I133" s="376"/>
      <c r="J133" s="109"/>
      <c r="K133" s="383"/>
      <c r="L133" s="109"/>
      <c r="M133" s="166"/>
    </row>
    <row r="134" spans="1:13" ht="45" customHeight="1" x14ac:dyDescent="0.25">
      <c r="A134" s="17">
        <f t="shared" si="2"/>
        <v>121</v>
      </c>
      <c r="B134" s="139"/>
      <c r="C134" s="88"/>
      <c r="D134" s="112"/>
      <c r="E134" s="378"/>
      <c r="F134" s="380"/>
      <c r="G134" s="96"/>
      <c r="H134" s="97"/>
      <c r="I134" s="376"/>
      <c r="J134" s="165"/>
      <c r="K134" s="383"/>
      <c r="L134" s="165"/>
      <c r="M134" s="166"/>
    </row>
    <row r="135" spans="1:13" ht="45" customHeight="1" x14ac:dyDescent="0.25">
      <c r="A135" s="17">
        <f t="shared" si="2"/>
        <v>122</v>
      </c>
      <c r="B135" s="110"/>
      <c r="C135" s="88"/>
      <c r="D135" s="111"/>
      <c r="E135" s="378"/>
      <c r="F135" s="379"/>
      <c r="G135" s="96"/>
      <c r="H135" s="377"/>
      <c r="I135" s="376"/>
      <c r="J135" s="109"/>
      <c r="K135" s="382"/>
      <c r="L135" s="109"/>
      <c r="M135" s="167"/>
    </row>
    <row r="136" spans="1:13" ht="45" customHeight="1" x14ac:dyDescent="0.25">
      <c r="A136" s="17">
        <f t="shared" si="2"/>
        <v>123</v>
      </c>
      <c r="B136" s="139"/>
      <c r="C136" s="88"/>
      <c r="D136" s="112"/>
      <c r="E136" s="378"/>
      <c r="F136" s="380"/>
      <c r="G136" s="96"/>
      <c r="H136" s="97"/>
      <c r="I136" s="376"/>
      <c r="J136" s="165"/>
      <c r="K136" s="383"/>
      <c r="L136" s="165"/>
      <c r="M136" s="166"/>
    </row>
    <row r="137" spans="1:13" ht="45" customHeight="1" x14ac:dyDescent="0.25">
      <c r="A137" s="17">
        <f t="shared" si="2"/>
        <v>124</v>
      </c>
      <c r="B137" s="110"/>
      <c r="C137" s="88"/>
      <c r="D137" s="111"/>
      <c r="E137" s="378"/>
      <c r="F137" s="379"/>
      <c r="G137" s="96"/>
      <c r="H137" s="377"/>
      <c r="I137" s="376"/>
      <c r="J137" s="109"/>
      <c r="K137" s="382"/>
      <c r="L137" s="109"/>
      <c r="M137" s="167"/>
    </row>
    <row r="138" spans="1:13" ht="45" customHeight="1" x14ac:dyDescent="0.25">
      <c r="A138" s="17">
        <f t="shared" si="2"/>
        <v>125</v>
      </c>
      <c r="B138" s="139"/>
      <c r="C138" s="88"/>
      <c r="D138" s="112"/>
      <c r="E138" s="378"/>
      <c r="F138" s="380"/>
      <c r="G138" s="96"/>
      <c r="H138" s="97"/>
      <c r="I138" s="376"/>
      <c r="J138" s="165"/>
      <c r="K138" s="383"/>
      <c r="L138" s="165"/>
      <c r="M138" s="166"/>
    </row>
    <row r="139" spans="1:13" ht="45" customHeight="1" x14ac:dyDescent="0.25">
      <c r="A139" s="17">
        <f t="shared" si="2"/>
        <v>126</v>
      </c>
      <c r="B139" s="110"/>
      <c r="C139" s="88"/>
      <c r="D139" s="111"/>
      <c r="E139" s="378"/>
      <c r="F139" s="379"/>
      <c r="G139" s="96"/>
      <c r="H139" s="377"/>
      <c r="I139" s="376"/>
      <c r="J139" s="109"/>
      <c r="K139" s="382"/>
      <c r="L139" s="109"/>
      <c r="M139" s="167"/>
    </row>
    <row r="140" spans="1:13" ht="45" customHeight="1" x14ac:dyDescent="0.25">
      <c r="A140" s="17">
        <f t="shared" si="2"/>
        <v>127</v>
      </c>
      <c r="B140" s="139"/>
      <c r="C140" s="88"/>
      <c r="D140" s="112"/>
      <c r="E140" s="378"/>
      <c r="F140" s="380"/>
      <c r="G140" s="96"/>
      <c r="H140" s="97"/>
      <c r="I140" s="376"/>
      <c r="J140" s="165"/>
      <c r="K140" s="383"/>
      <c r="L140" s="165"/>
      <c r="M140" s="166"/>
    </row>
    <row r="141" spans="1:13" ht="45" customHeight="1" x14ac:dyDescent="0.25">
      <c r="A141" s="17">
        <f t="shared" si="2"/>
        <v>128</v>
      </c>
      <c r="B141" s="110"/>
      <c r="C141" s="88"/>
      <c r="D141" s="111"/>
      <c r="E141" s="378"/>
      <c r="F141" s="379"/>
      <c r="G141" s="96"/>
      <c r="H141" s="377"/>
      <c r="I141" s="376"/>
      <c r="J141" s="109"/>
      <c r="K141" s="382"/>
      <c r="L141" s="109"/>
      <c r="M141" s="167"/>
    </row>
    <row r="142" spans="1:13" ht="45" customHeight="1" x14ac:dyDescent="0.25">
      <c r="A142" s="17">
        <f t="shared" ref="A142:A205" si="3">ROW(A129)</f>
        <v>129</v>
      </c>
      <c r="B142" s="139"/>
      <c r="C142" s="88"/>
      <c r="D142" s="112"/>
      <c r="E142" s="378"/>
      <c r="F142" s="380"/>
      <c r="G142" s="96"/>
      <c r="H142" s="97"/>
      <c r="I142" s="376"/>
      <c r="J142" s="168"/>
      <c r="K142" s="383"/>
      <c r="L142" s="168"/>
      <c r="M142" s="166"/>
    </row>
    <row r="143" spans="1:13" ht="45" customHeight="1" x14ac:dyDescent="0.25">
      <c r="A143" s="17">
        <f t="shared" si="3"/>
        <v>130</v>
      </c>
      <c r="B143" s="110"/>
      <c r="C143" s="88"/>
      <c r="D143" s="111"/>
      <c r="E143" s="378"/>
      <c r="F143" s="379"/>
      <c r="G143" s="96"/>
      <c r="H143" s="377"/>
      <c r="I143" s="376"/>
      <c r="J143" s="109"/>
      <c r="K143" s="383"/>
      <c r="L143" s="109"/>
      <c r="M143" s="166"/>
    </row>
    <row r="144" spans="1:13" ht="45" customHeight="1" x14ac:dyDescent="0.25">
      <c r="A144" s="17">
        <f t="shared" si="3"/>
        <v>131</v>
      </c>
      <c r="B144" s="139"/>
      <c r="C144" s="88"/>
      <c r="D144" s="112"/>
      <c r="E144" s="378"/>
      <c r="F144" s="380"/>
      <c r="G144" s="96"/>
      <c r="H144" s="97"/>
      <c r="I144" s="376"/>
      <c r="J144" s="165"/>
      <c r="K144" s="383"/>
      <c r="L144" s="165"/>
      <c r="M144" s="166"/>
    </row>
    <row r="145" spans="1:13" ht="45" customHeight="1" x14ac:dyDescent="0.25">
      <c r="A145" s="17">
        <f t="shared" si="3"/>
        <v>132</v>
      </c>
      <c r="B145" s="110"/>
      <c r="C145" s="88"/>
      <c r="D145" s="111"/>
      <c r="E145" s="378"/>
      <c r="F145" s="379"/>
      <c r="G145" s="96"/>
      <c r="H145" s="377"/>
      <c r="I145" s="376"/>
      <c r="J145" s="109"/>
      <c r="K145" s="382"/>
      <c r="L145" s="109"/>
      <c r="M145" s="167"/>
    </row>
    <row r="146" spans="1:13" ht="45" customHeight="1" x14ac:dyDescent="0.25">
      <c r="A146" s="17">
        <f t="shared" si="3"/>
        <v>133</v>
      </c>
      <c r="B146" s="139"/>
      <c r="C146" s="88"/>
      <c r="D146" s="112"/>
      <c r="E146" s="378"/>
      <c r="F146" s="380"/>
      <c r="G146" s="96"/>
      <c r="H146" s="97"/>
      <c r="I146" s="376"/>
      <c r="J146" s="165"/>
      <c r="K146" s="383"/>
      <c r="L146" s="165"/>
      <c r="M146" s="166"/>
    </row>
    <row r="147" spans="1:13" ht="45" customHeight="1" x14ac:dyDescent="0.25">
      <c r="A147" s="17">
        <f t="shared" si="3"/>
        <v>134</v>
      </c>
      <c r="B147" s="110"/>
      <c r="C147" s="88"/>
      <c r="D147" s="111"/>
      <c r="E147" s="378"/>
      <c r="F147" s="379"/>
      <c r="G147" s="96"/>
      <c r="H147" s="377"/>
      <c r="I147" s="376"/>
      <c r="J147" s="109"/>
      <c r="K147" s="382"/>
      <c r="L147" s="109"/>
      <c r="M147" s="167"/>
    </row>
    <row r="148" spans="1:13" ht="45" customHeight="1" x14ac:dyDescent="0.25">
      <c r="A148" s="17">
        <f t="shared" si="3"/>
        <v>135</v>
      </c>
      <c r="B148" s="139"/>
      <c r="C148" s="88"/>
      <c r="D148" s="112"/>
      <c r="E148" s="378"/>
      <c r="F148" s="380"/>
      <c r="G148" s="96"/>
      <c r="H148" s="97"/>
      <c r="I148" s="376"/>
      <c r="J148" s="165"/>
      <c r="K148" s="383"/>
      <c r="L148" s="165"/>
      <c r="M148" s="166"/>
    </row>
    <row r="149" spans="1:13" ht="45" customHeight="1" x14ac:dyDescent="0.25">
      <c r="A149" s="17">
        <f t="shared" si="3"/>
        <v>136</v>
      </c>
      <c r="B149" s="110"/>
      <c r="C149" s="88"/>
      <c r="D149" s="111"/>
      <c r="E149" s="378"/>
      <c r="F149" s="379"/>
      <c r="G149" s="96"/>
      <c r="H149" s="377"/>
      <c r="I149" s="376"/>
      <c r="J149" s="109"/>
      <c r="K149" s="382"/>
      <c r="L149" s="109"/>
      <c r="M149" s="167"/>
    </row>
    <row r="150" spans="1:13" ht="45" customHeight="1" x14ac:dyDescent="0.25">
      <c r="A150" s="17">
        <f t="shared" si="3"/>
        <v>137</v>
      </c>
      <c r="B150" s="139"/>
      <c r="C150" s="88"/>
      <c r="D150" s="112"/>
      <c r="E150" s="378"/>
      <c r="F150" s="380"/>
      <c r="G150" s="96"/>
      <c r="H150" s="97"/>
      <c r="I150" s="376"/>
      <c r="J150" s="165"/>
      <c r="K150" s="383"/>
      <c r="L150" s="165"/>
      <c r="M150" s="166"/>
    </row>
    <row r="151" spans="1:13" ht="45" customHeight="1" x14ac:dyDescent="0.25">
      <c r="A151" s="17">
        <f t="shared" si="3"/>
        <v>138</v>
      </c>
      <c r="B151" s="110"/>
      <c r="C151" s="88"/>
      <c r="D151" s="111"/>
      <c r="E151" s="378"/>
      <c r="F151" s="379"/>
      <c r="G151" s="96"/>
      <c r="H151" s="377"/>
      <c r="I151" s="376"/>
      <c r="J151" s="109"/>
      <c r="K151" s="382"/>
      <c r="L151" s="109"/>
      <c r="M151" s="167"/>
    </row>
    <row r="152" spans="1:13" ht="45" customHeight="1" x14ac:dyDescent="0.25">
      <c r="A152" s="17">
        <f t="shared" si="3"/>
        <v>139</v>
      </c>
      <c r="B152" s="139"/>
      <c r="C152" s="88"/>
      <c r="D152" s="112"/>
      <c r="E152" s="378"/>
      <c r="F152" s="380"/>
      <c r="G152" s="96"/>
      <c r="H152" s="97"/>
      <c r="I152" s="376"/>
      <c r="J152" s="168"/>
      <c r="K152" s="383"/>
      <c r="L152" s="168"/>
      <c r="M152" s="166"/>
    </row>
    <row r="153" spans="1:13" ht="45" customHeight="1" x14ac:dyDescent="0.25">
      <c r="A153" s="17">
        <f t="shared" si="3"/>
        <v>140</v>
      </c>
      <c r="B153" s="110"/>
      <c r="C153" s="88"/>
      <c r="D153" s="111"/>
      <c r="E153" s="378"/>
      <c r="F153" s="379"/>
      <c r="G153" s="96"/>
      <c r="H153" s="377"/>
      <c r="I153" s="376"/>
      <c r="J153" s="109"/>
      <c r="K153" s="383"/>
      <c r="L153" s="109"/>
      <c r="M153" s="166"/>
    </row>
    <row r="154" spans="1:13" ht="45" customHeight="1" x14ac:dyDescent="0.25">
      <c r="A154" s="17">
        <f t="shared" si="3"/>
        <v>141</v>
      </c>
      <c r="B154" s="139"/>
      <c r="C154" s="88"/>
      <c r="D154" s="112"/>
      <c r="E154" s="378"/>
      <c r="F154" s="380"/>
      <c r="G154" s="96"/>
      <c r="H154" s="97"/>
      <c r="I154" s="376"/>
      <c r="J154" s="165"/>
      <c r="K154" s="383"/>
      <c r="L154" s="165"/>
      <c r="M154" s="166"/>
    </row>
    <row r="155" spans="1:13" ht="45" customHeight="1" x14ac:dyDescent="0.25">
      <c r="A155" s="17">
        <f t="shared" si="3"/>
        <v>142</v>
      </c>
      <c r="B155" s="110"/>
      <c r="C155" s="88"/>
      <c r="D155" s="111"/>
      <c r="E155" s="378"/>
      <c r="F155" s="379"/>
      <c r="G155" s="96"/>
      <c r="H155" s="377"/>
      <c r="I155" s="376"/>
      <c r="J155" s="109"/>
      <c r="K155" s="382"/>
      <c r="L155" s="109"/>
      <c r="M155" s="167"/>
    </row>
    <row r="156" spans="1:13" ht="45" customHeight="1" x14ac:dyDescent="0.25">
      <c r="A156" s="17">
        <f t="shared" si="3"/>
        <v>143</v>
      </c>
      <c r="B156" s="139"/>
      <c r="C156" s="88"/>
      <c r="D156" s="112"/>
      <c r="E156" s="378"/>
      <c r="F156" s="380"/>
      <c r="G156" s="96"/>
      <c r="H156" s="97"/>
      <c r="I156" s="376"/>
      <c r="J156" s="165"/>
      <c r="K156" s="383"/>
      <c r="L156" s="165"/>
      <c r="M156" s="166"/>
    </row>
    <row r="157" spans="1:13" ht="45" customHeight="1" x14ac:dyDescent="0.25">
      <c r="A157" s="17">
        <f t="shared" si="3"/>
        <v>144</v>
      </c>
      <c r="B157" s="110"/>
      <c r="C157" s="88"/>
      <c r="D157" s="111"/>
      <c r="E157" s="378"/>
      <c r="F157" s="379"/>
      <c r="G157" s="96"/>
      <c r="H157" s="377"/>
      <c r="I157" s="376"/>
      <c r="J157" s="109"/>
      <c r="K157" s="382"/>
      <c r="L157" s="109"/>
      <c r="M157" s="167"/>
    </row>
    <row r="158" spans="1:13" ht="45" customHeight="1" x14ac:dyDescent="0.25">
      <c r="A158" s="17">
        <f t="shared" si="3"/>
        <v>145</v>
      </c>
      <c r="B158" s="139"/>
      <c r="C158" s="88"/>
      <c r="D158" s="112"/>
      <c r="E158" s="378"/>
      <c r="F158" s="380"/>
      <c r="G158" s="96"/>
      <c r="H158" s="97"/>
      <c r="I158" s="376"/>
      <c r="J158" s="165"/>
      <c r="K158" s="383"/>
      <c r="L158" s="165"/>
      <c r="M158" s="166"/>
    </row>
    <row r="159" spans="1:13" ht="45" customHeight="1" x14ac:dyDescent="0.25">
      <c r="A159" s="17">
        <f t="shared" si="3"/>
        <v>146</v>
      </c>
      <c r="B159" s="110"/>
      <c r="C159" s="88"/>
      <c r="D159" s="111"/>
      <c r="E159" s="378"/>
      <c r="F159" s="379"/>
      <c r="G159" s="96"/>
      <c r="H159" s="377"/>
      <c r="I159" s="376"/>
      <c r="J159" s="109"/>
      <c r="K159" s="382"/>
      <c r="L159" s="109"/>
      <c r="M159" s="167"/>
    </row>
    <row r="160" spans="1:13" ht="45" customHeight="1" x14ac:dyDescent="0.25">
      <c r="A160" s="17">
        <f t="shared" si="3"/>
        <v>147</v>
      </c>
      <c r="B160" s="139"/>
      <c r="C160" s="88"/>
      <c r="D160" s="112"/>
      <c r="E160" s="378"/>
      <c r="F160" s="380"/>
      <c r="G160" s="96"/>
      <c r="H160" s="97"/>
      <c r="I160" s="376"/>
      <c r="J160" s="165"/>
      <c r="K160" s="383"/>
      <c r="L160" s="165"/>
      <c r="M160" s="166"/>
    </row>
    <row r="161" spans="1:13" ht="45" customHeight="1" x14ac:dyDescent="0.25">
      <c r="A161" s="17">
        <f t="shared" si="3"/>
        <v>148</v>
      </c>
      <c r="B161" s="110"/>
      <c r="C161" s="88"/>
      <c r="D161" s="111"/>
      <c r="E161" s="378"/>
      <c r="F161" s="379"/>
      <c r="G161" s="96"/>
      <c r="H161" s="377"/>
      <c r="I161" s="376"/>
      <c r="J161" s="109"/>
      <c r="K161" s="382"/>
      <c r="L161" s="109"/>
      <c r="M161" s="167"/>
    </row>
    <row r="162" spans="1:13" ht="45" customHeight="1" x14ac:dyDescent="0.25">
      <c r="A162" s="17">
        <f t="shared" si="3"/>
        <v>149</v>
      </c>
      <c r="B162" s="139"/>
      <c r="C162" s="88"/>
      <c r="D162" s="112"/>
      <c r="E162" s="378"/>
      <c r="F162" s="380"/>
      <c r="G162" s="96"/>
      <c r="H162" s="97"/>
      <c r="I162" s="376"/>
      <c r="J162" s="168"/>
      <c r="K162" s="383"/>
      <c r="L162" s="168"/>
      <c r="M162" s="166"/>
    </row>
    <row r="163" spans="1:13" ht="45" customHeight="1" x14ac:dyDescent="0.25">
      <c r="A163" s="17">
        <f t="shared" si="3"/>
        <v>150</v>
      </c>
      <c r="B163" s="110"/>
      <c r="C163" s="88"/>
      <c r="D163" s="111"/>
      <c r="E163" s="378"/>
      <c r="F163" s="379"/>
      <c r="G163" s="96"/>
      <c r="H163" s="377"/>
      <c r="I163" s="376"/>
      <c r="J163" s="109"/>
      <c r="K163" s="383"/>
      <c r="L163" s="109"/>
      <c r="M163" s="166"/>
    </row>
    <row r="164" spans="1:13" ht="45" customHeight="1" x14ac:dyDescent="0.25">
      <c r="A164" s="17">
        <f t="shared" si="3"/>
        <v>151</v>
      </c>
      <c r="B164" s="139"/>
      <c r="C164" s="88"/>
      <c r="D164" s="112"/>
      <c r="E164" s="378"/>
      <c r="F164" s="380"/>
      <c r="G164" s="96"/>
      <c r="H164" s="97"/>
      <c r="I164" s="376"/>
      <c r="J164" s="165"/>
      <c r="K164" s="383"/>
      <c r="L164" s="165"/>
      <c r="M164" s="166"/>
    </row>
    <row r="165" spans="1:13" ht="45" customHeight="1" x14ac:dyDescent="0.25">
      <c r="A165" s="17">
        <f t="shared" si="3"/>
        <v>152</v>
      </c>
      <c r="B165" s="110"/>
      <c r="C165" s="88"/>
      <c r="D165" s="111"/>
      <c r="E165" s="378"/>
      <c r="F165" s="379"/>
      <c r="G165" s="96"/>
      <c r="H165" s="377"/>
      <c r="I165" s="376"/>
      <c r="J165" s="109"/>
      <c r="K165" s="382"/>
      <c r="L165" s="109"/>
      <c r="M165" s="167"/>
    </row>
    <row r="166" spans="1:13" ht="45" customHeight="1" x14ac:dyDescent="0.25">
      <c r="A166" s="17">
        <f t="shared" si="3"/>
        <v>153</v>
      </c>
      <c r="B166" s="139"/>
      <c r="C166" s="88"/>
      <c r="D166" s="112"/>
      <c r="E166" s="378"/>
      <c r="F166" s="380"/>
      <c r="G166" s="96"/>
      <c r="H166" s="97"/>
      <c r="I166" s="376"/>
      <c r="J166" s="165"/>
      <c r="K166" s="383"/>
      <c r="L166" s="165"/>
      <c r="M166" s="166"/>
    </row>
    <row r="167" spans="1:13" ht="45" customHeight="1" x14ac:dyDescent="0.25">
      <c r="A167" s="17">
        <f t="shared" si="3"/>
        <v>154</v>
      </c>
      <c r="B167" s="110"/>
      <c r="C167" s="88"/>
      <c r="D167" s="111"/>
      <c r="E167" s="378"/>
      <c r="F167" s="379"/>
      <c r="G167" s="96"/>
      <c r="H167" s="377"/>
      <c r="I167" s="376"/>
      <c r="J167" s="109"/>
      <c r="K167" s="382"/>
      <c r="L167" s="109"/>
      <c r="M167" s="167"/>
    </row>
    <row r="168" spans="1:13" ht="45" customHeight="1" x14ac:dyDescent="0.25">
      <c r="A168" s="17">
        <f t="shared" si="3"/>
        <v>155</v>
      </c>
      <c r="B168" s="139"/>
      <c r="C168" s="88"/>
      <c r="D168" s="112"/>
      <c r="E168" s="378"/>
      <c r="F168" s="380"/>
      <c r="G168" s="96"/>
      <c r="H168" s="97"/>
      <c r="I168" s="376"/>
      <c r="J168" s="165"/>
      <c r="K168" s="383"/>
      <c r="L168" s="165"/>
      <c r="M168" s="166"/>
    </row>
    <row r="169" spans="1:13" ht="45" customHeight="1" x14ac:dyDescent="0.25">
      <c r="A169" s="17">
        <f t="shared" si="3"/>
        <v>156</v>
      </c>
      <c r="B169" s="110"/>
      <c r="C169" s="88"/>
      <c r="D169" s="111"/>
      <c r="E169" s="378"/>
      <c r="F169" s="379"/>
      <c r="G169" s="96"/>
      <c r="H169" s="377"/>
      <c r="I169" s="376"/>
      <c r="J169" s="109"/>
      <c r="K169" s="382"/>
      <c r="L169" s="109"/>
      <c r="M169" s="167"/>
    </row>
    <row r="170" spans="1:13" ht="45" customHeight="1" x14ac:dyDescent="0.25">
      <c r="A170" s="17">
        <f t="shared" si="3"/>
        <v>157</v>
      </c>
      <c r="B170" s="139"/>
      <c r="C170" s="88"/>
      <c r="D170" s="112"/>
      <c r="E170" s="378"/>
      <c r="F170" s="380"/>
      <c r="G170" s="96"/>
      <c r="H170" s="97"/>
      <c r="I170" s="376"/>
      <c r="J170" s="165"/>
      <c r="K170" s="383"/>
      <c r="L170" s="165"/>
      <c r="M170" s="166"/>
    </row>
    <row r="171" spans="1:13" ht="45" customHeight="1" x14ac:dyDescent="0.25">
      <c r="A171" s="17">
        <f t="shared" si="3"/>
        <v>158</v>
      </c>
      <c r="B171" s="110"/>
      <c r="C171" s="88"/>
      <c r="D171" s="111"/>
      <c r="E171" s="378"/>
      <c r="F171" s="379"/>
      <c r="G171" s="96"/>
      <c r="H171" s="377"/>
      <c r="I171" s="376"/>
      <c r="J171" s="109"/>
      <c r="K171" s="382"/>
      <c r="L171" s="109"/>
      <c r="M171" s="167"/>
    </row>
    <row r="172" spans="1:13" ht="45" customHeight="1" x14ac:dyDescent="0.25">
      <c r="A172" s="17">
        <f t="shared" si="3"/>
        <v>159</v>
      </c>
      <c r="B172" s="139"/>
      <c r="C172" s="88"/>
      <c r="D172" s="112"/>
      <c r="E172" s="378"/>
      <c r="F172" s="380"/>
      <c r="G172" s="96"/>
      <c r="H172" s="97"/>
      <c r="I172" s="376"/>
      <c r="J172" s="168"/>
      <c r="K172" s="383"/>
      <c r="L172" s="168"/>
      <c r="M172" s="166"/>
    </row>
    <row r="173" spans="1:13" ht="45" customHeight="1" x14ac:dyDescent="0.25">
      <c r="A173" s="17">
        <f t="shared" si="3"/>
        <v>160</v>
      </c>
      <c r="B173" s="110"/>
      <c r="C173" s="88"/>
      <c r="D173" s="111"/>
      <c r="E173" s="378"/>
      <c r="F173" s="379"/>
      <c r="G173" s="96"/>
      <c r="H173" s="377"/>
      <c r="I173" s="376"/>
      <c r="J173" s="109"/>
      <c r="K173" s="383"/>
      <c r="L173" s="109"/>
      <c r="M173" s="166"/>
    </row>
    <row r="174" spans="1:13" ht="45" customHeight="1" x14ac:dyDescent="0.25">
      <c r="A174" s="17">
        <f t="shared" si="3"/>
        <v>161</v>
      </c>
      <c r="B174" s="139"/>
      <c r="C174" s="88"/>
      <c r="D174" s="112"/>
      <c r="E174" s="378"/>
      <c r="F174" s="380"/>
      <c r="G174" s="96"/>
      <c r="H174" s="97"/>
      <c r="I174" s="376"/>
      <c r="J174" s="165"/>
      <c r="K174" s="383"/>
      <c r="L174" s="165"/>
      <c r="M174" s="166"/>
    </row>
    <row r="175" spans="1:13" ht="45" customHeight="1" x14ac:dyDescent="0.25">
      <c r="A175" s="17">
        <f t="shared" si="3"/>
        <v>162</v>
      </c>
      <c r="B175" s="110"/>
      <c r="C175" s="88"/>
      <c r="D175" s="111"/>
      <c r="E175" s="378"/>
      <c r="F175" s="379"/>
      <c r="G175" s="96"/>
      <c r="H175" s="377"/>
      <c r="I175" s="376"/>
      <c r="J175" s="109"/>
      <c r="K175" s="382"/>
      <c r="L175" s="109"/>
      <c r="M175" s="167"/>
    </row>
    <row r="176" spans="1:13" ht="45" customHeight="1" x14ac:dyDescent="0.25">
      <c r="A176" s="17">
        <f t="shared" si="3"/>
        <v>163</v>
      </c>
      <c r="B176" s="139"/>
      <c r="C176" s="88"/>
      <c r="D176" s="112"/>
      <c r="E176" s="378"/>
      <c r="F176" s="380"/>
      <c r="G176" s="96"/>
      <c r="H176" s="97"/>
      <c r="I176" s="376"/>
      <c r="J176" s="165"/>
      <c r="K176" s="383"/>
      <c r="L176" s="165"/>
      <c r="M176" s="166"/>
    </row>
    <row r="177" spans="1:13" ht="45" customHeight="1" x14ac:dyDescent="0.25">
      <c r="A177" s="17">
        <f t="shared" si="3"/>
        <v>164</v>
      </c>
      <c r="B177" s="110"/>
      <c r="C177" s="88"/>
      <c r="D177" s="111"/>
      <c r="E177" s="378"/>
      <c r="F177" s="379"/>
      <c r="G177" s="96"/>
      <c r="H177" s="377"/>
      <c r="I177" s="376"/>
      <c r="J177" s="109"/>
      <c r="K177" s="382"/>
      <c r="L177" s="109"/>
      <c r="M177" s="167"/>
    </row>
    <row r="178" spans="1:13" ht="45" customHeight="1" x14ac:dyDescent="0.25">
      <c r="A178" s="17">
        <f t="shared" si="3"/>
        <v>165</v>
      </c>
      <c r="B178" s="139"/>
      <c r="C178" s="88"/>
      <c r="D178" s="112"/>
      <c r="E178" s="378"/>
      <c r="F178" s="380"/>
      <c r="G178" s="96"/>
      <c r="H178" s="97"/>
      <c r="I178" s="376"/>
      <c r="J178" s="165"/>
      <c r="K178" s="383"/>
      <c r="L178" s="165"/>
      <c r="M178" s="166"/>
    </row>
    <row r="179" spans="1:13" ht="45" customHeight="1" x14ac:dyDescent="0.25">
      <c r="A179" s="17">
        <f t="shared" si="3"/>
        <v>166</v>
      </c>
      <c r="B179" s="110"/>
      <c r="C179" s="88"/>
      <c r="D179" s="111"/>
      <c r="E179" s="378"/>
      <c r="F179" s="379"/>
      <c r="G179" s="96"/>
      <c r="H179" s="377"/>
      <c r="I179" s="376"/>
      <c r="J179" s="109"/>
      <c r="K179" s="382"/>
      <c r="L179" s="109"/>
      <c r="M179" s="167"/>
    </row>
    <row r="180" spans="1:13" ht="45" customHeight="1" x14ac:dyDescent="0.25">
      <c r="A180" s="17">
        <f t="shared" si="3"/>
        <v>167</v>
      </c>
      <c r="B180" s="139"/>
      <c r="C180" s="88"/>
      <c r="D180" s="112"/>
      <c r="E180" s="378"/>
      <c r="F180" s="380"/>
      <c r="G180" s="96"/>
      <c r="H180" s="97"/>
      <c r="I180" s="376"/>
      <c r="J180" s="165"/>
      <c r="K180" s="383"/>
      <c r="L180" s="165"/>
      <c r="M180" s="166"/>
    </row>
    <row r="181" spans="1:13" ht="45" customHeight="1" x14ac:dyDescent="0.25">
      <c r="A181" s="17">
        <f t="shared" si="3"/>
        <v>168</v>
      </c>
      <c r="B181" s="110"/>
      <c r="C181" s="88"/>
      <c r="D181" s="111"/>
      <c r="E181" s="378"/>
      <c r="F181" s="379"/>
      <c r="G181" s="96"/>
      <c r="H181" s="377"/>
      <c r="I181" s="376"/>
      <c r="J181" s="109"/>
      <c r="K181" s="382"/>
      <c r="L181" s="109"/>
      <c r="M181" s="167"/>
    </row>
    <row r="182" spans="1:13" ht="45" customHeight="1" x14ac:dyDescent="0.25">
      <c r="A182" s="17">
        <f t="shared" si="3"/>
        <v>169</v>
      </c>
      <c r="B182" s="139"/>
      <c r="C182" s="88"/>
      <c r="D182" s="112"/>
      <c r="E182" s="378"/>
      <c r="F182" s="380"/>
      <c r="G182" s="96"/>
      <c r="H182" s="97"/>
      <c r="I182" s="376"/>
      <c r="J182" s="168"/>
      <c r="K182" s="383"/>
      <c r="L182" s="168"/>
      <c r="M182" s="166"/>
    </row>
    <row r="183" spans="1:13" ht="45" customHeight="1" x14ac:dyDescent="0.25">
      <c r="A183" s="17">
        <f t="shared" si="3"/>
        <v>170</v>
      </c>
      <c r="B183" s="110"/>
      <c r="C183" s="88"/>
      <c r="D183" s="111"/>
      <c r="E183" s="378"/>
      <c r="F183" s="379"/>
      <c r="G183" s="96"/>
      <c r="H183" s="377"/>
      <c r="I183" s="376"/>
      <c r="J183" s="109"/>
      <c r="K183" s="383"/>
      <c r="L183" s="109"/>
      <c r="M183" s="166"/>
    </row>
    <row r="184" spans="1:13" ht="45" customHeight="1" x14ac:dyDescent="0.25">
      <c r="A184" s="17">
        <f t="shared" si="3"/>
        <v>171</v>
      </c>
      <c r="B184" s="139"/>
      <c r="C184" s="88"/>
      <c r="D184" s="112"/>
      <c r="E184" s="378"/>
      <c r="F184" s="380"/>
      <c r="G184" s="96"/>
      <c r="H184" s="97"/>
      <c r="I184" s="376"/>
      <c r="J184" s="165"/>
      <c r="K184" s="383"/>
      <c r="L184" s="165"/>
      <c r="M184" s="166"/>
    </row>
    <row r="185" spans="1:13" ht="45" customHeight="1" x14ac:dyDescent="0.25">
      <c r="A185" s="17">
        <f t="shared" si="3"/>
        <v>172</v>
      </c>
      <c r="B185" s="110"/>
      <c r="C185" s="88"/>
      <c r="D185" s="111"/>
      <c r="E185" s="378"/>
      <c r="F185" s="379"/>
      <c r="G185" s="96"/>
      <c r="H185" s="377"/>
      <c r="I185" s="376"/>
      <c r="J185" s="109"/>
      <c r="K185" s="382"/>
      <c r="L185" s="109"/>
      <c r="M185" s="167"/>
    </row>
    <row r="186" spans="1:13" ht="45" customHeight="1" x14ac:dyDescent="0.25">
      <c r="A186" s="17">
        <f t="shared" si="3"/>
        <v>173</v>
      </c>
      <c r="B186" s="139"/>
      <c r="C186" s="88"/>
      <c r="D186" s="112"/>
      <c r="E186" s="378"/>
      <c r="F186" s="380"/>
      <c r="G186" s="96"/>
      <c r="H186" s="97"/>
      <c r="I186" s="376"/>
      <c r="J186" s="165"/>
      <c r="K186" s="383"/>
      <c r="L186" s="165"/>
      <c r="M186" s="166"/>
    </row>
    <row r="187" spans="1:13" ht="45" customHeight="1" x14ac:dyDescent="0.25">
      <c r="A187" s="17">
        <f t="shared" si="3"/>
        <v>174</v>
      </c>
      <c r="B187" s="110"/>
      <c r="C187" s="88"/>
      <c r="D187" s="111"/>
      <c r="E187" s="378"/>
      <c r="F187" s="379"/>
      <c r="G187" s="96"/>
      <c r="H187" s="377"/>
      <c r="I187" s="376"/>
      <c r="J187" s="109"/>
      <c r="K187" s="382"/>
      <c r="L187" s="109"/>
      <c r="M187" s="167"/>
    </row>
    <row r="188" spans="1:13" ht="45" customHeight="1" x14ac:dyDescent="0.25">
      <c r="A188" s="17">
        <f t="shared" si="3"/>
        <v>175</v>
      </c>
      <c r="B188" s="139"/>
      <c r="C188" s="88"/>
      <c r="D188" s="112"/>
      <c r="E188" s="378"/>
      <c r="F188" s="380"/>
      <c r="G188" s="96"/>
      <c r="H188" s="97"/>
      <c r="I188" s="376"/>
      <c r="J188" s="165"/>
      <c r="K188" s="383"/>
      <c r="L188" s="165"/>
      <c r="M188" s="166"/>
    </row>
    <row r="189" spans="1:13" ht="45" customHeight="1" x14ac:dyDescent="0.25">
      <c r="A189" s="17">
        <f t="shared" si="3"/>
        <v>176</v>
      </c>
      <c r="B189" s="110"/>
      <c r="C189" s="88"/>
      <c r="D189" s="111"/>
      <c r="E189" s="378"/>
      <c r="F189" s="379"/>
      <c r="G189" s="96"/>
      <c r="H189" s="377"/>
      <c r="I189" s="376"/>
      <c r="J189" s="109"/>
      <c r="K189" s="382"/>
      <c r="L189" s="109"/>
      <c r="M189" s="167"/>
    </row>
    <row r="190" spans="1:13" ht="45" customHeight="1" x14ac:dyDescent="0.25">
      <c r="A190" s="17">
        <f t="shared" si="3"/>
        <v>177</v>
      </c>
      <c r="B190" s="139"/>
      <c r="C190" s="88"/>
      <c r="D190" s="112"/>
      <c r="E190" s="378"/>
      <c r="F190" s="380"/>
      <c r="G190" s="96"/>
      <c r="H190" s="97"/>
      <c r="I190" s="376"/>
      <c r="J190" s="165"/>
      <c r="K190" s="383"/>
      <c r="L190" s="165"/>
      <c r="M190" s="166"/>
    </row>
    <row r="191" spans="1:13" ht="45" customHeight="1" x14ac:dyDescent="0.25">
      <c r="A191" s="17">
        <f t="shared" si="3"/>
        <v>178</v>
      </c>
      <c r="B191" s="110"/>
      <c r="C191" s="88"/>
      <c r="D191" s="111"/>
      <c r="E191" s="378"/>
      <c r="F191" s="379"/>
      <c r="G191" s="96"/>
      <c r="H191" s="377"/>
      <c r="I191" s="376"/>
      <c r="J191" s="109"/>
      <c r="K191" s="382"/>
      <c r="L191" s="109"/>
      <c r="M191" s="167"/>
    </row>
    <row r="192" spans="1:13" ht="45" customHeight="1" x14ac:dyDescent="0.25">
      <c r="A192" s="17">
        <f t="shared" si="3"/>
        <v>179</v>
      </c>
      <c r="B192" s="139"/>
      <c r="C192" s="88"/>
      <c r="D192" s="112"/>
      <c r="E192" s="378"/>
      <c r="F192" s="380"/>
      <c r="G192" s="96"/>
      <c r="H192" s="97"/>
      <c r="I192" s="376"/>
      <c r="J192" s="168"/>
      <c r="K192" s="383"/>
      <c r="L192" s="168"/>
      <c r="M192" s="166"/>
    </row>
    <row r="193" spans="1:13" ht="45" customHeight="1" x14ac:dyDescent="0.25">
      <c r="A193" s="17">
        <f t="shared" si="3"/>
        <v>180</v>
      </c>
      <c r="B193" s="110"/>
      <c r="C193" s="88"/>
      <c r="D193" s="111"/>
      <c r="E193" s="378"/>
      <c r="F193" s="379"/>
      <c r="G193" s="96"/>
      <c r="H193" s="377"/>
      <c r="I193" s="376"/>
      <c r="J193" s="109"/>
      <c r="K193" s="383"/>
      <c r="L193" s="109"/>
      <c r="M193" s="166"/>
    </row>
    <row r="194" spans="1:13" ht="45" customHeight="1" x14ac:dyDescent="0.25">
      <c r="A194" s="17">
        <f t="shared" si="3"/>
        <v>181</v>
      </c>
      <c r="B194" s="139"/>
      <c r="C194" s="88"/>
      <c r="D194" s="112"/>
      <c r="E194" s="378"/>
      <c r="F194" s="380"/>
      <c r="G194" s="96"/>
      <c r="H194" s="97"/>
      <c r="I194" s="376"/>
      <c r="J194" s="165"/>
      <c r="K194" s="383"/>
      <c r="L194" s="165"/>
      <c r="M194" s="166"/>
    </row>
    <row r="195" spans="1:13" ht="45" customHeight="1" x14ac:dyDescent="0.25">
      <c r="A195" s="17">
        <f t="shared" si="3"/>
        <v>182</v>
      </c>
      <c r="B195" s="110"/>
      <c r="C195" s="88"/>
      <c r="D195" s="111"/>
      <c r="E195" s="378"/>
      <c r="F195" s="379"/>
      <c r="G195" s="96"/>
      <c r="H195" s="377"/>
      <c r="I195" s="376"/>
      <c r="J195" s="109"/>
      <c r="K195" s="382"/>
      <c r="L195" s="109"/>
      <c r="M195" s="167"/>
    </row>
    <row r="196" spans="1:13" ht="45" customHeight="1" x14ac:dyDescent="0.25">
      <c r="A196" s="17">
        <f t="shared" si="3"/>
        <v>183</v>
      </c>
      <c r="B196" s="139"/>
      <c r="C196" s="88"/>
      <c r="D196" s="112"/>
      <c r="E196" s="378"/>
      <c r="F196" s="380"/>
      <c r="G196" s="96"/>
      <c r="H196" s="97"/>
      <c r="I196" s="376"/>
      <c r="J196" s="165"/>
      <c r="K196" s="383"/>
      <c r="L196" s="165"/>
      <c r="M196" s="166"/>
    </row>
    <row r="197" spans="1:13" ht="45" customHeight="1" x14ac:dyDescent="0.25">
      <c r="A197" s="17">
        <f t="shared" si="3"/>
        <v>184</v>
      </c>
      <c r="B197" s="110"/>
      <c r="C197" s="88"/>
      <c r="D197" s="111"/>
      <c r="E197" s="378"/>
      <c r="F197" s="379"/>
      <c r="G197" s="96"/>
      <c r="H197" s="377"/>
      <c r="I197" s="376"/>
      <c r="J197" s="109"/>
      <c r="K197" s="382"/>
      <c r="L197" s="109"/>
      <c r="M197" s="167"/>
    </row>
    <row r="198" spans="1:13" ht="45" customHeight="1" x14ac:dyDescent="0.25">
      <c r="A198" s="17">
        <f t="shared" si="3"/>
        <v>185</v>
      </c>
      <c r="B198" s="139"/>
      <c r="C198" s="88"/>
      <c r="D198" s="112"/>
      <c r="E198" s="378"/>
      <c r="F198" s="380"/>
      <c r="G198" s="96"/>
      <c r="H198" s="97"/>
      <c r="I198" s="376"/>
      <c r="J198" s="165"/>
      <c r="K198" s="383"/>
      <c r="L198" s="165"/>
      <c r="M198" s="166"/>
    </row>
    <row r="199" spans="1:13" ht="45" customHeight="1" x14ac:dyDescent="0.25">
      <c r="A199" s="17">
        <f t="shared" si="3"/>
        <v>186</v>
      </c>
      <c r="B199" s="110"/>
      <c r="C199" s="88"/>
      <c r="D199" s="111"/>
      <c r="E199" s="378"/>
      <c r="F199" s="379"/>
      <c r="G199" s="96"/>
      <c r="H199" s="377"/>
      <c r="I199" s="376"/>
      <c r="J199" s="109"/>
      <c r="K199" s="382"/>
      <c r="L199" s="109"/>
      <c r="M199" s="167"/>
    </row>
    <row r="200" spans="1:13" ht="45" customHeight="1" x14ac:dyDescent="0.25">
      <c r="A200" s="17">
        <f t="shared" si="3"/>
        <v>187</v>
      </c>
      <c r="B200" s="139"/>
      <c r="C200" s="88"/>
      <c r="D200" s="112"/>
      <c r="E200" s="378"/>
      <c r="F200" s="380"/>
      <c r="G200" s="96"/>
      <c r="H200" s="97"/>
      <c r="I200" s="376"/>
      <c r="J200" s="165"/>
      <c r="K200" s="383"/>
      <c r="L200" s="165"/>
      <c r="M200" s="166"/>
    </row>
    <row r="201" spans="1:13" ht="45" customHeight="1" x14ac:dyDescent="0.25">
      <c r="A201" s="17">
        <f t="shared" si="3"/>
        <v>188</v>
      </c>
      <c r="B201" s="110"/>
      <c r="C201" s="88"/>
      <c r="D201" s="111"/>
      <c r="E201" s="378"/>
      <c r="F201" s="379"/>
      <c r="G201" s="96"/>
      <c r="H201" s="377"/>
      <c r="I201" s="376"/>
      <c r="J201" s="109"/>
      <c r="K201" s="382"/>
      <c r="L201" s="109"/>
      <c r="M201" s="167"/>
    </row>
    <row r="202" spans="1:13" ht="45" customHeight="1" x14ac:dyDescent="0.25">
      <c r="A202" s="17">
        <f t="shared" si="3"/>
        <v>189</v>
      </c>
      <c r="B202" s="139"/>
      <c r="C202" s="88"/>
      <c r="D202" s="112"/>
      <c r="E202" s="378"/>
      <c r="F202" s="380"/>
      <c r="G202" s="96"/>
      <c r="H202" s="97"/>
      <c r="I202" s="376"/>
      <c r="J202" s="168"/>
      <c r="K202" s="383"/>
      <c r="L202" s="168"/>
      <c r="M202" s="166"/>
    </row>
    <row r="203" spans="1:13" ht="45" customHeight="1" x14ac:dyDescent="0.25">
      <c r="A203" s="17">
        <f t="shared" si="3"/>
        <v>190</v>
      </c>
      <c r="B203" s="110"/>
      <c r="C203" s="88"/>
      <c r="D203" s="111"/>
      <c r="E203" s="378"/>
      <c r="F203" s="379"/>
      <c r="G203" s="96"/>
      <c r="H203" s="377"/>
      <c r="I203" s="376"/>
      <c r="J203" s="109"/>
      <c r="K203" s="383"/>
      <c r="L203" s="109"/>
      <c r="M203" s="166"/>
    </row>
    <row r="204" spans="1:13" ht="45" customHeight="1" x14ac:dyDescent="0.25">
      <c r="A204" s="17">
        <f t="shared" si="3"/>
        <v>191</v>
      </c>
      <c r="B204" s="139"/>
      <c r="C204" s="88"/>
      <c r="D204" s="112"/>
      <c r="E204" s="378"/>
      <c r="F204" s="380"/>
      <c r="G204" s="96"/>
      <c r="H204" s="97"/>
      <c r="I204" s="376"/>
      <c r="J204" s="165"/>
      <c r="K204" s="383"/>
      <c r="L204" s="165"/>
      <c r="M204" s="166"/>
    </row>
    <row r="205" spans="1:13" ht="45" customHeight="1" x14ac:dyDescent="0.25">
      <c r="A205" s="17">
        <f t="shared" si="3"/>
        <v>192</v>
      </c>
      <c r="B205" s="110"/>
      <c r="C205" s="88"/>
      <c r="D205" s="111"/>
      <c r="E205" s="378"/>
      <c r="F205" s="379"/>
      <c r="G205" s="96"/>
      <c r="H205" s="377"/>
      <c r="I205" s="376"/>
      <c r="J205" s="109"/>
      <c r="K205" s="382"/>
      <c r="L205" s="109"/>
      <c r="M205" s="167"/>
    </row>
    <row r="206" spans="1:13" ht="45" customHeight="1" x14ac:dyDescent="0.25">
      <c r="A206" s="17">
        <f t="shared" ref="A206:A269" si="4">ROW(A193)</f>
        <v>193</v>
      </c>
      <c r="B206" s="139"/>
      <c r="C206" s="88"/>
      <c r="D206" s="112"/>
      <c r="E206" s="378"/>
      <c r="F206" s="380"/>
      <c r="G206" s="96"/>
      <c r="H206" s="97"/>
      <c r="I206" s="376"/>
      <c r="J206" s="165"/>
      <c r="K206" s="383"/>
      <c r="L206" s="165"/>
      <c r="M206" s="166"/>
    </row>
    <row r="207" spans="1:13" ht="45" customHeight="1" x14ac:dyDescent="0.25">
      <c r="A207" s="17">
        <f t="shared" si="4"/>
        <v>194</v>
      </c>
      <c r="B207" s="110"/>
      <c r="C207" s="88"/>
      <c r="D207" s="111"/>
      <c r="E207" s="378"/>
      <c r="F207" s="379"/>
      <c r="G207" s="96"/>
      <c r="H207" s="377"/>
      <c r="I207" s="376"/>
      <c r="J207" s="109"/>
      <c r="K207" s="382"/>
      <c r="L207" s="109"/>
      <c r="M207" s="167"/>
    </row>
    <row r="208" spans="1:13" ht="45" customHeight="1" x14ac:dyDescent="0.25">
      <c r="A208" s="17">
        <f t="shared" si="4"/>
        <v>195</v>
      </c>
      <c r="B208" s="139"/>
      <c r="C208" s="88"/>
      <c r="D208" s="112"/>
      <c r="E208" s="378"/>
      <c r="F208" s="380"/>
      <c r="G208" s="96"/>
      <c r="H208" s="97"/>
      <c r="I208" s="376"/>
      <c r="J208" s="165"/>
      <c r="K208" s="383"/>
      <c r="L208" s="165"/>
      <c r="M208" s="166"/>
    </row>
    <row r="209" spans="1:13" ht="45" customHeight="1" x14ac:dyDescent="0.25">
      <c r="A209" s="17">
        <f t="shared" si="4"/>
        <v>196</v>
      </c>
      <c r="B209" s="110"/>
      <c r="C209" s="88"/>
      <c r="D209" s="111"/>
      <c r="E209" s="378"/>
      <c r="F209" s="379"/>
      <c r="G209" s="96"/>
      <c r="H209" s="377"/>
      <c r="I209" s="376"/>
      <c r="J209" s="109"/>
      <c r="K209" s="382"/>
      <c r="L209" s="109"/>
      <c r="M209" s="167"/>
    </row>
    <row r="210" spans="1:13" ht="45" customHeight="1" x14ac:dyDescent="0.25">
      <c r="A210" s="17">
        <f t="shared" si="4"/>
        <v>197</v>
      </c>
      <c r="B210" s="139"/>
      <c r="C210" s="88"/>
      <c r="D210" s="112"/>
      <c r="E210" s="378"/>
      <c r="F210" s="380"/>
      <c r="G210" s="96"/>
      <c r="H210" s="97"/>
      <c r="I210" s="376"/>
      <c r="J210" s="165"/>
      <c r="K210" s="383"/>
      <c r="L210" s="165"/>
      <c r="M210" s="166"/>
    </row>
    <row r="211" spans="1:13" ht="45" customHeight="1" x14ac:dyDescent="0.25">
      <c r="A211" s="17">
        <f t="shared" si="4"/>
        <v>198</v>
      </c>
      <c r="B211" s="110"/>
      <c r="C211" s="88"/>
      <c r="D211" s="111"/>
      <c r="E211" s="378"/>
      <c r="F211" s="379"/>
      <c r="G211" s="96"/>
      <c r="H211" s="377"/>
      <c r="I211" s="376"/>
      <c r="J211" s="109"/>
      <c r="K211" s="382"/>
      <c r="L211" s="109"/>
      <c r="M211" s="167"/>
    </row>
    <row r="212" spans="1:13" ht="45" customHeight="1" x14ac:dyDescent="0.25">
      <c r="A212" s="17">
        <f t="shared" si="4"/>
        <v>199</v>
      </c>
      <c r="B212" s="139"/>
      <c r="C212" s="88"/>
      <c r="D212" s="112"/>
      <c r="E212" s="378"/>
      <c r="F212" s="380"/>
      <c r="G212" s="96"/>
      <c r="H212" s="97"/>
      <c r="I212" s="376"/>
      <c r="J212" s="168"/>
      <c r="K212" s="383"/>
      <c r="L212" s="168"/>
      <c r="M212" s="166"/>
    </row>
    <row r="213" spans="1:13" ht="45" customHeight="1" x14ac:dyDescent="0.25">
      <c r="A213" s="17">
        <f t="shared" si="4"/>
        <v>200</v>
      </c>
      <c r="B213" s="110"/>
      <c r="C213" s="88"/>
      <c r="D213" s="111"/>
      <c r="E213" s="378"/>
      <c r="F213" s="379"/>
      <c r="G213" s="96"/>
      <c r="H213" s="377"/>
      <c r="I213" s="376"/>
      <c r="J213" s="109"/>
      <c r="K213" s="383"/>
      <c r="L213" s="109"/>
      <c r="M213" s="166"/>
    </row>
    <row r="214" spans="1:13" ht="45" customHeight="1" x14ac:dyDescent="0.25">
      <c r="A214" s="17">
        <f t="shared" si="4"/>
        <v>201</v>
      </c>
      <c r="B214" s="139"/>
      <c r="C214" s="88"/>
      <c r="D214" s="112"/>
      <c r="E214" s="378"/>
      <c r="F214" s="380"/>
      <c r="G214" s="96"/>
      <c r="H214" s="97"/>
      <c r="I214" s="376"/>
      <c r="J214" s="165"/>
      <c r="K214" s="383"/>
      <c r="L214" s="165"/>
      <c r="M214" s="166"/>
    </row>
    <row r="215" spans="1:13" ht="45" customHeight="1" x14ac:dyDescent="0.25">
      <c r="A215" s="17">
        <f t="shared" si="4"/>
        <v>202</v>
      </c>
      <c r="B215" s="110"/>
      <c r="C215" s="88"/>
      <c r="D215" s="111"/>
      <c r="E215" s="378"/>
      <c r="F215" s="379"/>
      <c r="G215" s="96"/>
      <c r="H215" s="377"/>
      <c r="I215" s="376"/>
      <c r="J215" s="109"/>
      <c r="K215" s="382"/>
      <c r="L215" s="109"/>
      <c r="M215" s="167"/>
    </row>
    <row r="216" spans="1:13" ht="45" customHeight="1" x14ac:dyDescent="0.25">
      <c r="A216" s="17">
        <f t="shared" si="4"/>
        <v>203</v>
      </c>
      <c r="B216" s="139"/>
      <c r="C216" s="88"/>
      <c r="D216" s="112"/>
      <c r="E216" s="378"/>
      <c r="F216" s="380"/>
      <c r="G216" s="96"/>
      <c r="H216" s="97"/>
      <c r="I216" s="376"/>
      <c r="J216" s="165"/>
      <c r="K216" s="383"/>
      <c r="L216" s="165"/>
      <c r="M216" s="166"/>
    </row>
    <row r="217" spans="1:13" ht="45" customHeight="1" x14ac:dyDescent="0.25">
      <c r="A217" s="17">
        <f t="shared" si="4"/>
        <v>204</v>
      </c>
      <c r="B217" s="110"/>
      <c r="C217" s="88"/>
      <c r="D217" s="111"/>
      <c r="E217" s="378"/>
      <c r="F217" s="379"/>
      <c r="G217" s="96"/>
      <c r="H217" s="377"/>
      <c r="I217" s="376"/>
      <c r="J217" s="109"/>
      <c r="K217" s="382"/>
      <c r="L217" s="109"/>
      <c r="M217" s="167"/>
    </row>
    <row r="218" spans="1:13" ht="45" customHeight="1" x14ac:dyDescent="0.25">
      <c r="A218" s="17">
        <f t="shared" si="4"/>
        <v>205</v>
      </c>
      <c r="B218" s="139"/>
      <c r="C218" s="88"/>
      <c r="D218" s="112"/>
      <c r="E218" s="378"/>
      <c r="F218" s="380"/>
      <c r="G218" s="96"/>
      <c r="H218" s="97"/>
      <c r="I218" s="376"/>
      <c r="J218" s="165"/>
      <c r="K218" s="383"/>
      <c r="L218" s="165"/>
      <c r="M218" s="166"/>
    </row>
    <row r="219" spans="1:13" ht="45" customHeight="1" x14ac:dyDescent="0.25">
      <c r="A219" s="17">
        <f t="shared" si="4"/>
        <v>206</v>
      </c>
      <c r="B219" s="110"/>
      <c r="C219" s="88"/>
      <c r="D219" s="111"/>
      <c r="E219" s="378"/>
      <c r="F219" s="379"/>
      <c r="G219" s="96"/>
      <c r="H219" s="377"/>
      <c r="I219" s="376"/>
      <c r="J219" s="109"/>
      <c r="K219" s="382"/>
      <c r="L219" s="109"/>
      <c r="M219" s="167"/>
    </row>
    <row r="220" spans="1:13" ht="45" customHeight="1" x14ac:dyDescent="0.25">
      <c r="A220" s="17">
        <f t="shared" si="4"/>
        <v>207</v>
      </c>
      <c r="B220" s="139"/>
      <c r="C220" s="88"/>
      <c r="D220" s="112"/>
      <c r="E220" s="378"/>
      <c r="F220" s="380"/>
      <c r="G220" s="96"/>
      <c r="H220" s="97"/>
      <c r="I220" s="376"/>
      <c r="J220" s="165"/>
      <c r="K220" s="383"/>
      <c r="L220" s="165"/>
      <c r="M220" s="166"/>
    </row>
    <row r="221" spans="1:13" ht="45" customHeight="1" x14ac:dyDescent="0.25">
      <c r="A221" s="17">
        <f t="shared" si="4"/>
        <v>208</v>
      </c>
      <c r="B221" s="110"/>
      <c r="C221" s="88"/>
      <c r="D221" s="111"/>
      <c r="E221" s="378"/>
      <c r="F221" s="379"/>
      <c r="G221" s="96"/>
      <c r="H221" s="377"/>
      <c r="I221" s="376"/>
      <c r="J221" s="109"/>
      <c r="K221" s="382"/>
      <c r="L221" s="109"/>
      <c r="M221" s="167"/>
    </row>
    <row r="222" spans="1:13" ht="45" customHeight="1" x14ac:dyDescent="0.25">
      <c r="A222" s="17">
        <f t="shared" si="4"/>
        <v>209</v>
      </c>
      <c r="B222" s="139"/>
      <c r="C222" s="88"/>
      <c r="D222" s="112"/>
      <c r="E222" s="378"/>
      <c r="F222" s="380"/>
      <c r="G222" s="96"/>
      <c r="H222" s="97"/>
      <c r="I222" s="376"/>
      <c r="J222" s="168"/>
      <c r="K222" s="383"/>
      <c r="L222" s="168"/>
      <c r="M222" s="166"/>
    </row>
    <row r="223" spans="1:13" ht="45" customHeight="1" x14ac:dyDescent="0.25">
      <c r="A223" s="17">
        <f t="shared" si="4"/>
        <v>210</v>
      </c>
      <c r="B223" s="110"/>
      <c r="C223" s="88"/>
      <c r="D223" s="111"/>
      <c r="E223" s="378"/>
      <c r="F223" s="379"/>
      <c r="G223" s="96"/>
      <c r="H223" s="377"/>
      <c r="I223" s="376"/>
      <c r="J223" s="109"/>
      <c r="K223" s="383"/>
      <c r="L223" s="109"/>
      <c r="M223" s="166"/>
    </row>
    <row r="224" spans="1:13" ht="45" customHeight="1" x14ac:dyDescent="0.25">
      <c r="A224" s="17">
        <f t="shared" si="4"/>
        <v>211</v>
      </c>
      <c r="B224" s="139"/>
      <c r="C224" s="88"/>
      <c r="D224" s="112"/>
      <c r="E224" s="378"/>
      <c r="F224" s="380"/>
      <c r="G224" s="96"/>
      <c r="H224" s="97"/>
      <c r="I224" s="376"/>
      <c r="J224" s="165"/>
      <c r="K224" s="383"/>
      <c r="L224" s="165"/>
      <c r="M224" s="166"/>
    </row>
    <row r="225" spans="1:13" ht="45" customHeight="1" x14ac:dyDescent="0.25">
      <c r="A225" s="17">
        <f t="shared" si="4"/>
        <v>212</v>
      </c>
      <c r="B225" s="110"/>
      <c r="C225" s="88"/>
      <c r="D225" s="111"/>
      <c r="E225" s="378"/>
      <c r="F225" s="379"/>
      <c r="G225" s="96"/>
      <c r="H225" s="377"/>
      <c r="I225" s="376"/>
      <c r="J225" s="109"/>
      <c r="K225" s="382"/>
      <c r="L225" s="109"/>
      <c r="M225" s="167"/>
    </row>
    <row r="226" spans="1:13" ht="45" customHeight="1" x14ac:dyDescent="0.25">
      <c r="A226" s="17">
        <f t="shared" si="4"/>
        <v>213</v>
      </c>
      <c r="B226" s="139"/>
      <c r="C226" s="88"/>
      <c r="D226" s="112"/>
      <c r="E226" s="378"/>
      <c r="F226" s="380"/>
      <c r="G226" s="96"/>
      <c r="H226" s="97"/>
      <c r="I226" s="376"/>
      <c r="J226" s="165"/>
      <c r="K226" s="383"/>
      <c r="L226" s="165"/>
      <c r="M226" s="166"/>
    </row>
    <row r="227" spans="1:13" ht="45" customHeight="1" x14ac:dyDescent="0.25">
      <c r="A227" s="17">
        <f t="shared" si="4"/>
        <v>214</v>
      </c>
      <c r="B227" s="110"/>
      <c r="C227" s="88"/>
      <c r="D227" s="111"/>
      <c r="E227" s="378"/>
      <c r="F227" s="379"/>
      <c r="G227" s="96"/>
      <c r="H227" s="377"/>
      <c r="I227" s="376"/>
      <c r="J227" s="109"/>
      <c r="K227" s="382"/>
      <c r="L227" s="109"/>
      <c r="M227" s="167"/>
    </row>
    <row r="228" spans="1:13" ht="45" customHeight="1" x14ac:dyDescent="0.25">
      <c r="A228" s="17">
        <f t="shared" si="4"/>
        <v>215</v>
      </c>
      <c r="B228" s="139"/>
      <c r="C228" s="88"/>
      <c r="D228" s="112"/>
      <c r="E228" s="378"/>
      <c r="F228" s="380"/>
      <c r="G228" s="96"/>
      <c r="H228" s="97"/>
      <c r="I228" s="376"/>
      <c r="J228" s="165"/>
      <c r="K228" s="383"/>
      <c r="L228" s="165"/>
      <c r="M228" s="166"/>
    </row>
    <row r="229" spans="1:13" ht="45" customHeight="1" x14ac:dyDescent="0.25">
      <c r="A229" s="17">
        <f t="shared" si="4"/>
        <v>216</v>
      </c>
      <c r="B229" s="110"/>
      <c r="C229" s="88"/>
      <c r="D229" s="111"/>
      <c r="E229" s="378"/>
      <c r="F229" s="379"/>
      <c r="G229" s="96"/>
      <c r="H229" s="377"/>
      <c r="I229" s="376"/>
      <c r="J229" s="109"/>
      <c r="K229" s="382"/>
      <c r="L229" s="109"/>
      <c r="M229" s="167"/>
    </row>
    <row r="230" spans="1:13" ht="45" customHeight="1" x14ac:dyDescent="0.25">
      <c r="A230" s="17">
        <f t="shared" si="4"/>
        <v>217</v>
      </c>
      <c r="B230" s="139"/>
      <c r="C230" s="88"/>
      <c r="D230" s="112"/>
      <c r="E230" s="378"/>
      <c r="F230" s="380"/>
      <c r="G230" s="96"/>
      <c r="H230" s="97"/>
      <c r="I230" s="376"/>
      <c r="J230" s="165"/>
      <c r="K230" s="383"/>
      <c r="L230" s="165"/>
      <c r="M230" s="166"/>
    </row>
    <row r="231" spans="1:13" ht="45" customHeight="1" x14ac:dyDescent="0.25">
      <c r="A231" s="17">
        <f t="shared" si="4"/>
        <v>218</v>
      </c>
      <c r="B231" s="110"/>
      <c r="C231" s="88"/>
      <c r="D231" s="111"/>
      <c r="E231" s="378"/>
      <c r="F231" s="379"/>
      <c r="G231" s="96"/>
      <c r="H231" s="377"/>
      <c r="I231" s="376"/>
      <c r="J231" s="109"/>
      <c r="K231" s="382"/>
      <c r="L231" s="109"/>
      <c r="M231" s="167"/>
    </row>
    <row r="232" spans="1:13" ht="45" customHeight="1" x14ac:dyDescent="0.25">
      <c r="A232" s="17">
        <f t="shared" si="4"/>
        <v>219</v>
      </c>
      <c r="B232" s="139"/>
      <c r="C232" s="88"/>
      <c r="D232" s="112"/>
      <c r="E232" s="378"/>
      <c r="F232" s="380"/>
      <c r="G232" s="96"/>
      <c r="H232" s="97"/>
      <c r="I232" s="376"/>
      <c r="J232" s="168"/>
      <c r="K232" s="383"/>
      <c r="L232" s="168"/>
      <c r="M232" s="166"/>
    </row>
    <row r="233" spans="1:13" ht="45" customHeight="1" x14ac:dyDescent="0.25">
      <c r="A233" s="17">
        <f t="shared" si="4"/>
        <v>220</v>
      </c>
      <c r="B233" s="110"/>
      <c r="C233" s="88"/>
      <c r="D233" s="111"/>
      <c r="E233" s="378"/>
      <c r="F233" s="379"/>
      <c r="G233" s="96"/>
      <c r="H233" s="377"/>
      <c r="I233" s="376"/>
      <c r="J233" s="109"/>
      <c r="K233" s="383"/>
      <c r="L233" s="109"/>
      <c r="M233" s="166"/>
    </row>
    <row r="234" spans="1:13" ht="45" customHeight="1" x14ac:dyDescent="0.25">
      <c r="A234" s="17">
        <f t="shared" si="4"/>
        <v>221</v>
      </c>
      <c r="B234" s="139"/>
      <c r="C234" s="88"/>
      <c r="D234" s="112"/>
      <c r="E234" s="378"/>
      <c r="F234" s="380"/>
      <c r="G234" s="96"/>
      <c r="H234" s="97"/>
      <c r="I234" s="376"/>
      <c r="J234" s="165"/>
      <c r="K234" s="383"/>
      <c r="L234" s="165"/>
      <c r="M234" s="166"/>
    </row>
    <row r="235" spans="1:13" ht="45" customHeight="1" x14ac:dyDescent="0.25">
      <c r="A235" s="17">
        <f t="shared" si="4"/>
        <v>222</v>
      </c>
      <c r="B235" s="110"/>
      <c r="C235" s="88"/>
      <c r="D235" s="111"/>
      <c r="E235" s="378"/>
      <c r="F235" s="379"/>
      <c r="G235" s="96"/>
      <c r="H235" s="377"/>
      <c r="I235" s="376"/>
      <c r="J235" s="109"/>
      <c r="K235" s="382"/>
      <c r="L235" s="109"/>
      <c r="M235" s="167"/>
    </row>
    <row r="236" spans="1:13" ht="45" customHeight="1" x14ac:dyDescent="0.25">
      <c r="A236" s="17">
        <f t="shared" si="4"/>
        <v>223</v>
      </c>
      <c r="B236" s="139"/>
      <c r="C236" s="88"/>
      <c r="D236" s="112"/>
      <c r="E236" s="378"/>
      <c r="F236" s="380"/>
      <c r="G236" s="96"/>
      <c r="H236" s="97"/>
      <c r="I236" s="376"/>
      <c r="J236" s="165"/>
      <c r="K236" s="383"/>
      <c r="L236" s="165"/>
      <c r="M236" s="166"/>
    </row>
    <row r="237" spans="1:13" ht="45" customHeight="1" x14ac:dyDescent="0.25">
      <c r="A237" s="17">
        <f t="shared" si="4"/>
        <v>224</v>
      </c>
      <c r="B237" s="110"/>
      <c r="C237" s="88"/>
      <c r="D237" s="111"/>
      <c r="E237" s="378"/>
      <c r="F237" s="379"/>
      <c r="G237" s="96"/>
      <c r="H237" s="377"/>
      <c r="I237" s="376"/>
      <c r="J237" s="109"/>
      <c r="K237" s="382"/>
      <c r="L237" s="109"/>
      <c r="M237" s="167"/>
    </row>
    <row r="238" spans="1:13" ht="45" customHeight="1" x14ac:dyDescent="0.25">
      <c r="A238" s="17">
        <f t="shared" si="4"/>
        <v>225</v>
      </c>
      <c r="B238" s="139"/>
      <c r="C238" s="88"/>
      <c r="D238" s="112"/>
      <c r="E238" s="378"/>
      <c r="F238" s="380"/>
      <c r="G238" s="96"/>
      <c r="H238" s="97"/>
      <c r="I238" s="376"/>
      <c r="J238" s="165"/>
      <c r="K238" s="383"/>
      <c r="L238" s="165"/>
      <c r="M238" s="166"/>
    </row>
    <row r="239" spans="1:13" ht="45" customHeight="1" x14ac:dyDescent="0.25">
      <c r="A239" s="17">
        <f t="shared" si="4"/>
        <v>226</v>
      </c>
      <c r="B239" s="110"/>
      <c r="C239" s="88"/>
      <c r="D239" s="111"/>
      <c r="E239" s="378"/>
      <c r="F239" s="379"/>
      <c r="G239" s="96"/>
      <c r="H239" s="377"/>
      <c r="I239" s="376"/>
      <c r="J239" s="109"/>
      <c r="K239" s="382"/>
      <c r="L239" s="109"/>
      <c r="M239" s="167"/>
    </row>
    <row r="240" spans="1:13" ht="45" customHeight="1" x14ac:dyDescent="0.25">
      <c r="A240" s="17">
        <f t="shared" si="4"/>
        <v>227</v>
      </c>
      <c r="B240" s="139"/>
      <c r="C240" s="88"/>
      <c r="D240" s="112"/>
      <c r="E240" s="378"/>
      <c r="F240" s="380"/>
      <c r="G240" s="96"/>
      <c r="H240" s="97"/>
      <c r="I240" s="376"/>
      <c r="J240" s="165"/>
      <c r="K240" s="383"/>
      <c r="L240" s="165"/>
      <c r="M240" s="166"/>
    </row>
    <row r="241" spans="1:13" ht="45" customHeight="1" x14ac:dyDescent="0.25">
      <c r="A241" s="17">
        <f t="shared" si="4"/>
        <v>228</v>
      </c>
      <c r="B241" s="110"/>
      <c r="C241" s="88"/>
      <c r="D241" s="111"/>
      <c r="E241" s="378"/>
      <c r="F241" s="379"/>
      <c r="G241" s="96"/>
      <c r="H241" s="377"/>
      <c r="I241" s="376"/>
      <c r="J241" s="109"/>
      <c r="K241" s="382"/>
      <c r="L241" s="109"/>
      <c r="M241" s="167"/>
    </row>
    <row r="242" spans="1:13" ht="45" customHeight="1" x14ac:dyDescent="0.25">
      <c r="A242" s="17">
        <f t="shared" si="4"/>
        <v>229</v>
      </c>
      <c r="B242" s="139"/>
      <c r="C242" s="88"/>
      <c r="D242" s="112"/>
      <c r="E242" s="378"/>
      <c r="F242" s="380"/>
      <c r="G242" s="96"/>
      <c r="H242" s="97"/>
      <c r="I242" s="376"/>
      <c r="J242" s="168"/>
      <c r="K242" s="383"/>
      <c r="L242" s="168"/>
      <c r="M242" s="166"/>
    </row>
    <row r="243" spans="1:13" ht="45" customHeight="1" x14ac:dyDescent="0.25">
      <c r="A243" s="17">
        <f t="shared" si="4"/>
        <v>230</v>
      </c>
      <c r="B243" s="110"/>
      <c r="C243" s="88"/>
      <c r="D243" s="111"/>
      <c r="E243" s="378"/>
      <c r="F243" s="379"/>
      <c r="G243" s="96"/>
      <c r="H243" s="377"/>
      <c r="I243" s="376"/>
      <c r="J243" s="109"/>
      <c r="K243" s="383"/>
      <c r="L243" s="109"/>
      <c r="M243" s="166"/>
    </row>
    <row r="244" spans="1:13" ht="45" customHeight="1" x14ac:dyDescent="0.25">
      <c r="A244" s="17">
        <f t="shared" si="4"/>
        <v>231</v>
      </c>
      <c r="B244" s="139"/>
      <c r="C244" s="88"/>
      <c r="D244" s="112"/>
      <c r="E244" s="378"/>
      <c r="F244" s="380"/>
      <c r="G244" s="96"/>
      <c r="H244" s="97"/>
      <c r="I244" s="376"/>
      <c r="J244" s="165"/>
      <c r="K244" s="383"/>
      <c r="L244" s="165"/>
      <c r="M244" s="166"/>
    </row>
    <row r="245" spans="1:13" ht="45" customHeight="1" x14ac:dyDescent="0.25">
      <c r="A245" s="17">
        <f t="shared" si="4"/>
        <v>232</v>
      </c>
      <c r="B245" s="110"/>
      <c r="C245" s="88"/>
      <c r="D245" s="111"/>
      <c r="E245" s="378"/>
      <c r="F245" s="379"/>
      <c r="G245" s="96"/>
      <c r="H245" s="377"/>
      <c r="I245" s="376"/>
      <c r="J245" s="109"/>
      <c r="K245" s="382"/>
      <c r="L245" s="109"/>
      <c r="M245" s="167"/>
    </row>
    <row r="246" spans="1:13" ht="45" customHeight="1" x14ac:dyDescent="0.25">
      <c r="A246" s="17">
        <f t="shared" si="4"/>
        <v>233</v>
      </c>
      <c r="B246" s="139"/>
      <c r="C246" s="88"/>
      <c r="D246" s="112"/>
      <c r="E246" s="378"/>
      <c r="F246" s="380"/>
      <c r="G246" s="96"/>
      <c r="H246" s="97"/>
      <c r="I246" s="376"/>
      <c r="J246" s="165"/>
      <c r="K246" s="383"/>
      <c r="L246" s="165"/>
      <c r="M246" s="166"/>
    </row>
    <row r="247" spans="1:13" ht="45" customHeight="1" x14ac:dyDescent="0.25">
      <c r="A247" s="17">
        <f t="shared" si="4"/>
        <v>234</v>
      </c>
      <c r="B247" s="110"/>
      <c r="C247" s="88"/>
      <c r="D247" s="111"/>
      <c r="E247" s="378"/>
      <c r="F247" s="379"/>
      <c r="G247" s="96"/>
      <c r="H247" s="377"/>
      <c r="I247" s="376"/>
      <c r="J247" s="109"/>
      <c r="K247" s="382"/>
      <c r="L247" s="109"/>
      <c r="M247" s="167"/>
    </row>
    <row r="248" spans="1:13" ht="45" customHeight="1" x14ac:dyDescent="0.25">
      <c r="A248" s="17">
        <f t="shared" si="4"/>
        <v>235</v>
      </c>
      <c r="B248" s="139"/>
      <c r="C248" s="88"/>
      <c r="D248" s="112"/>
      <c r="E248" s="378"/>
      <c r="F248" s="380"/>
      <c r="G248" s="96"/>
      <c r="H248" s="97"/>
      <c r="I248" s="376"/>
      <c r="J248" s="165"/>
      <c r="K248" s="383"/>
      <c r="L248" s="165"/>
      <c r="M248" s="166"/>
    </row>
    <row r="249" spans="1:13" ht="45" customHeight="1" x14ac:dyDescent="0.25">
      <c r="A249" s="17">
        <f t="shared" si="4"/>
        <v>236</v>
      </c>
      <c r="B249" s="110"/>
      <c r="C249" s="88"/>
      <c r="D249" s="111"/>
      <c r="E249" s="378"/>
      <c r="F249" s="379"/>
      <c r="G249" s="96"/>
      <c r="H249" s="377"/>
      <c r="I249" s="376"/>
      <c r="J249" s="109"/>
      <c r="K249" s="382"/>
      <c r="L249" s="109"/>
      <c r="M249" s="167"/>
    </row>
    <row r="250" spans="1:13" ht="45" customHeight="1" x14ac:dyDescent="0.25">
      <c r="A250" s="17">
        <f t="shared" si="4"/>
        <v>237</v>
      </c>
      <c r="B250" s="139"/>
      <c r="C250" s="88"/>
      <c r="D250" s="112"/>
      <c r="E250" s="378"/>
      <c r="F250" s="380"/>
      <c r="G250" s="96"/>
      <c r="H250" s="97"/>
      <c r="I250" s="376"/>
      <c r="J250" s="165"/>
      <c r="K250" s="383"/>
      <c r="L250" s="165"/>
      <c r="M250" s="166"/>
    </row>
    <row r="251" spans="1:13" ht="45" customHeight="1" x14ac:dyDescent="0.25">
      <c r="A251" s="17">
        <f t="shared" si="4"/>
        <v>238</v>
      </c>
      <c r="B251" s="110"/>
      <c r="C251" s="88"/>
      <c r="D251" s="111"/>
      <c r="E251" s="378"/>
      <c r="F251" s="379"/>
      <c r="G251" s="96"/>
      <c r="H251" s="377"/>
      <c r="I251" s="376"/>
      <c r="J251" s="109"/>
      <c r="K251" s="382"/>
      <c r="L251" s="109"/>
      <c r="M251" s="167"/>
    </row>
    <row r="252" spans="1:13" ht="45" customHeight="1" x14ac:dyDescent="0.25">
      <c r="A252" s="17">
        <f t="shared" si="4"/>
        <v>239</v>
      </c>
      <c r="B252" s="139"/>
      <c r="C252" s="88"/>
      <c r="D252" s="112"/>
      <c r="E252" s="378"/>
      <c r="F252" s="380"/>
      <c r="G252" s="96"/>
      <c r="H252" s="97"/>
      <c r="I252" s="376"/>
      <c r="J252" s="168"/>
      <c r="K252" s="383"/>
      <c r="L252" s="168"/>
      <c r="M252" s="166"/>
    </row>
    <row r="253" spans="1:13" ht="45" customHeight="1" x14ac:dyDescent="0.25">
      <c r="A253" s="17">
        <f t="shared" si="4"/>
        <v>240</v>
      </c>
      <c r="B253" s="110"/>
      <c r="C253" s="88"/>
      <c r="D253" s="111"/>
      <c r="E253" s="378"/>
      <c r="F253" s="379"/>
      <c r="G253" s="96"/>
      <c r="H253" s="377"/>
      <c r="I253" s="376"/>
      <c r="J253" s="109"/>
      <c r="K253" s="383"/>
      <c r="L253" s="109"/>
      <c r="M253" s="166"/>
    </row>
    <row r="254" spans="1:13" ht="45" customHeight="1" x14ac:dyDescent="0.25">
      <c r="A254" s="17">
        <f t="shared" si="4"/>
        <v>241</v>
      </c>
      <c r="B254" s="139"/>
      <c r="C254" s="88"/>
      <c r="D254" s="112"/>
      <c r="E254" s="378"/>
      <c r="F254" s="380"/>
      <c r="G254" s="96"/>
      <c r="H254" s="97"/>
      <c r="I254" s="376"/>
      <c r="J254" s="165"/>
      <c r="K254" s="383"/>
      <c r="L254" s="165"/>
      <c r="M254" s="166"/>
    </row>
    <row r="255" spans="1:13" ht="45" customHeight="1" x14ac:dyDescent="0.25">
      <c r="A255" s="17">
        <f t="shared" si="4"/>
        <v>242</v>
      </c>
      <c r="B255" s="110"/>
      <c r="C255" s="88"/>
      <c r="D255" s="111"/>
      <c r="E255" s="378"/>
      <c r="F255" s="379"/>
      <c r="G255" s="96"/>
      <c r="H255" s="377"/>
      <c r="I255" s="376"/>
      <c r="J255" s="109"/>
      <c r="K255" s="382"/>
      <c r="L255" s="109"/>
      <c r="M255" s="167"/>
    </row>
    <row r="256" spans="1:13" ht="45" customHeight="1" x14ac:dyDescent="0.25">
      <c r="A256" s="17">
        <f t="shared" si="4"/>
        <v>243</v>
      </c>
      <c r="B256" s="139"/>
      <c r="C256" s="88"/>
      <c r="D256" s="112"/>
      <c r="E256" s="378"/>
      <c r="F256" s="380"/>
      <c r="G256" s="96"/>
      <c r="H256" s="97"/>
      <c r="I256" s="376"/>
      <c r="J256" s="165"/>
      <c r="K256" s="383"/>
      <c r="L256" s="165"/>
      <c r="M256" s="166"/>
    </row>
    <row r="257" spans="1:13" ht="45" customHeight="1" x14ac:dyDescent="0.25">
      <c r="A257" s="17">
        <f t="shared" si="4"/>
        <v>244</v>
      </c>
      <c r="B257" s="110"/>
      <c r="C257" s="88"/>
      <c r="D257" s="111"/>
      <c r="E257" s="378"/>
      <c r="F257" s="379"/>
      <c r="G257" s="96"/>
      <c r="H257" s="377"/>
      <c r="I257" s="376"/>
      <c r="J257" s="109"/>
      <c r="K257" s="382"/>
      <c r="L257" s="109"/>
      <c r="M257" s="167"/>
    </row>
    <row r="258" spans="1:13" ht="45" customHeight="1" x14ac:dyDescent="0.25">
      <c r="A258" s="17">
        <f t="shared" si="4"/>
        <v>245</v>
      </c>
      <c r="B258" s="139"/>
      <c r="C258" s="88"/>
      <c r="D258" s="112"/>
      <c r="E258" s="378"/>
      <c r="F258" s="380"/>
      <c r="G258" s="96"/>
      <c r="H258" s="97"/>
      <c r="I258" s="376"/>
      <c r="J258" s="165"/>
      <c r="K258" s="383"/>
      <c r="L258" s="165"/>
      <c r="M258" s="166"/>
    </row>
    <row r="259" spans="1:13" ht="45" customHeight="1" x14ac:dyDescent="0.25">
      <c r="A259" s="17">
        <f t="shared" si="4"/>
        <v>246</v>
      </c>
      <c r="B259" s="110"/>
      <c r="C259" s="88"/>
      <c r="D259" s="111"/>
      <c r="E259" s="378"/>
      <c r="F259" s="379"/>
      <c r="G259" s="96"/>
      <c r="H259" s="377"/>
      <c r="I259" s="376"/>
      <c r="J259" s="109"/>
      <c r="K259" s="382"/>
      <c r="L259" s="109"/>
      <c r="M259" s="167"/>
    </row>
    <row r="260" spans="1:13" ht="45" customHeight="1" x14ac:dyDescent="0.25">
      <c r="A260" s="17">
        <f t="shared" si="4"/>
        <v>247</v>
      </c>
      <c r="B260" s="139"/>
      <c r="C260" s="88"/>
      <c r="D260" s="112"/>
      <c r="E260" s="378"/>
      <c r="F260" s="380"/>
      <c r="G260" s="96"/>
      <c r="H260" s="97"/>
      <c r="I260" s="376"/>
      <c r="J260" s="165"/>
      <c r="K260" s="383"/>
      <c r="L260" s="165"/>
      <c r="M260" s="166"/>
    </row>
    <row r="261" spans="1:13" ht="45" customHeight="1" x14ac:dyDescent="0.25">
      <c r="A261" s="17">
        <f t="shared" si="4"/>
        <v>248</v>
      </c>
      <c r="B261" s="110"/>
      <c r="C261" s="88"/>
      <c r="D261" s="111"/>
      <c r="E261" s="378"/>
      <c r="F261" s="379"/>
      <c r="G261" s="96"/>
      <c r="H261" s="377"/>
      <c r="I261" s="376"/>
      <c r="J261" s="109"/>
      <c r="K261" s="382"/>
      <c r="L261" s="109"/>
      <c r="M261" s="167"/>
    </row>
    <row r="262" spans="1:13" ht="45" customHeight="1" x14ac:dyDescent="0.25">
      <c r="A262" s="17">
        <f t="shared" si="4"/>
        <v>249</v>
      </c>
      <c r="B262" s="139"/>
      <c r="C262" s="88"/>
      <c r="D262" s="112"/>
      <c r="E262" s="378"/>
      <c r="F262" s="380"/>
      <c r="G262" s="96"/>
      <c r="H262" s="97"/>
      <c r="I262" s="376"/>
      <c r="J262" s="168"/>
      <c r="K262" s="383"/>
      <c r="L262" s="168"/>
      <c r="M262" s="166"/>
    </row>
    <row r="263" spans="1:13" ht="45" customHeight="1" x14ac:dyDescent="0.25">
      <c r="A263" s="17">
        <f t="shared" si="4"/>
        <v>250</v>
      </c>
      <c r="B263" s="110"/>
      <c r="C263" s="88"/>
      <c r="D263" s="111"/>
      <c r="E263" s="378"/>
      <c r="F263" s="379"/>
      <c r="G263" s="96"/>
      <c r="H263" s="377"/>
      <c r="I263" s="376"/>
      <c r="J263" s="109"/>
      <c r="K263" s="383"/>
      <c r="L263" s="109"/>
      <c r="M263" s="166"/>
    </row>
    <row r="264" spans="1:13" ht="45" customHeight="1" x14ac:dyDescent="0.25">
      <c r="A264" s="17">
        <f t="shared" si="4"/>
        <v>251</v>
      </c>
      <c r="B264" s="139"/>
      <c r="C264" s="88"/>
      <c r="D264" s="112"/>
      <c r="E264" s="378"/>
      <c r="F264" s="380"/>
      <c r="G264" s="96"/>
      <c r="H264" s="97"/>
      <c r="I264" s="376"/>
      <c r="J264" s="165"/>
      <c r="K264" s="383"/>
      <c r="L264" s="165"/>
      <c r="M264" s="166"/>
    </row>
    <row r="265" spans="1:13" ht="45" customHeight="1" x14ac:dyDescent="0.25">
      <c r="A265" s="17">
        <f t="shared" si="4"/>
        <v>252</v>
      </c>
      <c r="B265" s="110"/>
      <c r="C265" s="88"/>
      <c r="D265" s="111"/>
      <c r="E265" s="378"/>
      <c r="F265" s="379"/>
      <c r="G265" s="96"/>
      <c r="H265" s="377"/>
      <c r="I265" s="376"/>
      <c r="J265" s="109"/>
      <c r="K265" s="382"/>
      <c r="L265" s="109"/>
      <c r="M265" s="167"/>
    </row>
    <row r="266" spans="1:13" ht="45" customHeight="1" x14ac:dyDescent="0.25">
      <c r="A266" s="17">
        <f t="shared" si="4"/>
        <v>253</v>
      </c>
      <c r="B266" s="139"/>
      <c r="C266" s="88"/>
      <c r="D266" s="112"/>
      <c r="E266" s="378"/>
      <c r="F266" s="380"/>
      <c r="G266" s="96"/>
      <c r="H266" s="97"/>
      <c r="I266" s="376"/>
      <c r="J266" s="165"/>
      <c r="K266" s="383"/>
      <c r="L266" s="165"/>
      <c r="M266" s="166"/>
    </row>
    <row r="267" spans="1:13" ht="45" customHeight="1" x14ac:dyDescent="0.25">
      <c r="A267" s="17">
        <f t="shared" si="4"/>
        <v>254</v>
      </c>
      <c r="B267" s="110"/>
      <c r="C267" s="88"/>
      <c r="D267" s="111"/>
      <c r="E267" s="378"/>
      <c r="F267" s="379"/>
      <c r="G267" s="96"/>
      <c r="H267" s="377"/>
      <c r="I267" s="376"/>
      <c r="J267" s="109"/>
      <c r="K267" s="382"/>
      <c r="L267" s="109"/>
      <c r="M267" s="167"/>
    </row>
    <row r="268" spans="1:13" ht="45" customHeight="1" x14ac:dyDescent="0.25">
      <c r="A268" s="17">
        <f t="shared" si="4"/>
        <v>255</v>
      </c>
      <c r="B268" s="139"/>
      <c r="C268" s="88"/>
      <c r="D268" s="112"/>
      <c r="E268" s="378"/>
      <c r="F268" s="380"/>
      <c r="G268" s="96"/>
      <c r="H268" s="97"/>
      <c r="I268" s="376"/>
      <c r="J268" s="165"/>
      <c r="K268" s="383"/>
      <c r="L268" s="165"/>
      <c r="M268" s="166"/>
    </row>
    <row r="269" spans="1:13" ht="45" customHeight="1" x14ac:dyDescent="0.25">
      <c r="A269" s="17">
        <f t="shared" si="4"/>
        <v>256</v>
      </c>
      <c r="B269" s="110"/>
      <c r="C269" s="88"/>
      <c r="D269" s="111"/>
      <c r="E269" s="378"/>
      <c r="F269" s="379"/>
      <c r="G269" s="96"/>
      <c r="H269" s="377"/>
      <c r="I269" s="376"/>
      <c r="J269" s="109"/>
      <c r="K269" s="382"/>
      <c r="L269" s="109"/>
      <c r="M269" s="167"/>
    </row>
    <row r="270" spans="1:13" ht="45" customHeight="1" x14ac:dyDescent="0.25">
      <c r="A270" s="17">
        <f t="shared" ref="A270:A333" si="5">ROW(A257)</f>
        <v>257</v>
      </c>
      <c r="B270" s="139"/>
      <c r="C270" s="88"/>
      <c r="D270" s="112"/>
      <c r="E270" s="378"/>
      <c r="F270" s="380"/>
      <c r="G270" s="96"/>
      <c r="H270" s="97"/>
      <c r="I270" s="376"/>
      <c r="J270" s="165"/>
      <c r="K270" s="383"/>
      <c r="L270" s="165"/>
      <c r="M270" s="166"/>
    </row>
    <row r="271" spans="1:13" ht="45" customHeight="1" x14ac:dyDescent="0.25">
      <c r="A271" s="17">
        <f t="shared" si="5"/>
        <v>258</v>
      </c>
      <c r="B271" s="110"/>
      <c r="C271" s="88"/>
      <c r="D271" s="111"/>
      <c r="E271" s="378"/>
      <c r="F271" s="379"/>
      <c r="G271" s="96"/>
      <c r="H271" s="377"/>
      <c r="I271" s="376"/>
      <c r="J271" s="109"/>
      <c r="K271" s="382"/>
      <c r="L271" s="109"/>
      <c r="M271" s="167"/>
    </row>
    <row r="272" spans="1:13" ht="45" customHeight="1" x14ac:dyDescent="0.25">
      <c r="A272" s="17">
        <f t="shared" si="5"/>
        <v>259</v>
      </c>
      <c r="B272" s="139"/>
      <c r="C272" s="88"/>
      <c r="D272" s="112"/>
      <c r="E272" s="378"/>
      <c r="F272" s="380"/>
      <c r="G272" s="96"/>
      <c r="H272" s="97"/>
      <c r="I272" s="376"/>
      <c r="J272" s="168"/>
      <c r="K272" s="383"/>
      <c r="L272" s="168"/>
      <c r="M272" s="166"/>
    </row>
    <row r="273" spans="1:13" ht="45" customHeight="1" x14ac:dyDescent="0.25">
      <c r="A273" s="17">
        <f t="shared" si="5"/>
        <v>260</v>
      </c>
      <c r="B273" s="110"/>
      <c r="C273" s="88"/>
      <c r="D273" s="111"/>
      <c r="E273" s="378"/>
      <c r="F273" s="379"/>
      <c r="G273" s="96"/>
      <c r="H273" s="377"/>
      <c r="I273" s="376"/>
      <c r="J273" s="109"/>
      <c r="K273" s="383"/>
      <c r="L273" s="109"/>
      <c r="M273" s="166"/>
    </row>
    <row r="274" spans="1:13" ht="45" customHeight="1" x14ac:dyDescent="0.25">
      <c r="A274" s="17">
        <f t="shared" si="5"/>
        <v>261</v>
      </c>
      <c r="B274" s="139"/>
      <c r="C274" s="88"/>
      <c r="D274" s="112"/>
      <c r="E274" s="378"/>
      <c r="F274" s="380"/>
      <c r="G274" s="96"/>
      <c r="H274" s="97"/>
      <c r="I274" s="376"/>
      <c r="J274" s="165"/>
      <c r="K274" s="383"/>
      <c r="L274" s="165"/>
      <c r="M274" s="166"/>
    </row>
    <row r="275" spans="1:13" ht="45" customHeight="1" x14ac:dyDescent="0.25">
      <c r="A275" s="17">
        <f t="shared" si="5"/>
        <v>262</v>
      </c>
      <c r="B275" s="110"/>
      <c r="C275" s="88"/>
      <c r="D275" s="111"/>
      <c r="E275" s="378"/>
      <c r="F275" s="379"/>
      <c r="G275" s="96"/>
      <c r="H275" s="377"/>
      <c r="I275" s="376"/>
      <c r="J275" s="109"/>
      <c r="K275" s="382"/>
      <c r="L275" s="109"/>
      <c r="M275" s="167"/>
    </row>
    <row r="276" spans="1:13" ht="45" customHeight="1" x14ac:dyDescent="0.25">
      <c r="A276" s="17">
        <f t="shared" si="5"/>
        <v>263</v>
      </c>
      <c r="B276" s="139"/>
      <c r="C276" s="88"/>
      <c r="D276" s="112"/>
      <c r="E276" s="378"/>
      <c r="F276" s="380"/>
      <c r="G276" s="96"/>
      <c r="H276" s="97"/>
      <c r="I276" s="376"/>
      <c r="J276" s="165"/>
      <c r="K276" s="383"/>
      <c r="L276" s="165"/>
      <c r="M276" s="166"/>
    </row>
    <row r="277" spans="1:13" ht="45" customHeight="1" x14ac:dyDescent="0.25">
      <c r="A277" s="17">
        <f t="shared" si="5"/>
        <v>264</v>
      </c>
      <c r="B277" s="110"/>
      <c r="C277" s="88"/>
      <c r="D277" s="111"/>
      <c r="E277" s="378"/>
      <c r="F277" s="379"/>
      <c r="G277" s="96"/>
      <c r="H277" s="377"/>
      <c r="I277" s="376"/>
      <c r="J277" s="109"/>
      <c r="K277" s="382"/>
      <c r="L277" s="109"/>
      <c r="M277" s="167"/>
    </row>
    <row r="278" spans="1:13" ht="45" customHeight="1" x14ac:dyDescent="0.25">
      <c r="A278" s="17">
        <f t="shared" si="5"/>
        <v>265</v>
      </c>
      <c r="B278" s="139"/>
      <c r="C278" s="88"/>
      <c r="D278" s="112"/>
      <c r="E278" s="378"/>
      <c r="F278" s="380"/>
      <c r="G278" s="96"/>
      <c r="H278" s="97"/>
      <c r="I278" s="376"/>
      <c r="J278" s="165"/>
      <c r="K278" s="383"/>
      <c r="L278" s="165"/>
      <c r="M278" s="166"/>
    </row>
    <row r="279" spans="1:13" ht="45" customHeight="1" x14ac:dyDescent="0.25">
      <c r="A279" s="17">
        <f t="shared" si="5"/>
        <v>266</v>
      </c>
      <c r="B279" s="110"/>
      <c r="C279" s="88"/>
      <c r="D279" s="111"/>
      <c r="E279" s="378"/>
      <c r="F279" s="379"/>
      <c r="G279" s="96"/>
      <c r="H279" s="377"/>
      <c r="I279" s="376"/>
      <c r="J279" s="109"/>
      <c r="K279" s="382"/>
      <c r="L279" s="109"/>
      <c r="M279" s="167"/>
    </row>
    <row r="280" spans="1:13" ht="45" customHeight="1" x14ac:dyDescent="0.25">
      <c r="A280" s="17">
        <f t="shared" si="5"/>
        <v>267</v>
      </c>
      <c r="B280" s="139"/>
      <c r="C280" s="88"/>
      <c r="D280" s="112"/>
      <c r="E280" s="378"/>
      <c r="F280" s="380"/>
      <c r="G280" s="96"/>
      <c r="H280" s="97"/>
      <c r="I280" s="376"/>
      <c r="J280" s="165"/>
      <c r="K280" s="383"/>
      <c r="L280" s="165"/>
      <c r="M280" s="166"/>
    </row>
    <row r="281" spans="1:13" ht="45" customHeight="1" x14ac:dyDescent="0.25">
      <c r="A281" s="17">
        <f t="shared" si="5"/>
        <v>268</v>
      </c>
      <c r="B281" s="110"/>
      <c r="C281" s="88"/>
      <c r="D281" s="111"/>
      <c r="E281" s="378"/>
      <c r="F281" s="379"/>
      <c r="G281" s="96"/>
      <c r="H281" s="377"/>
      <c r="I281" s="376"/>
      <c r="J281" s="109"/>
      <c r="K281" s="382"/>
      <c r="L281" s="109"/>
      <c r="M281" s="167"/>
    </row>
    <row r="282" spans="1:13" ht="45" customHeight="1" x14ac:dyDescent="0.25">
      <c r="A282" s="17">
        <f t="shared" si="5"/>
        <v>269</v>
      </c>
      <c r="B282" s="139"/>
      <c r="C282" s="88"/>
      <c r="D282" s="112"/>
      <c r="E282" s="378"/>
      <c r="F282" s="380"/>
      <c r="G282" s="96"/>
      <c r="H282" s="97"/>
      <c r="I282" s="376"/>
      <c r="J282" s="168"/>
      <c r="K282" s="383"/>
      <c r="L282" s="168"/>
      <c r="M282" s="166"/>
    </row>
    <row r="283" spans="1:13" ht="45" customHeight="1" x14ac:dyDescent="0.25">
      <c r="A283" s="17">
        <f t="shared" si="5"/>
        <v>270</v>
      </c>
      <c r="B283" s="110"/>
      <c r="C283" s="88"/>
      <c r="D283" s="111"/>
      <c r="E283" s="378"/>
      <c r="F283" s="379"/>
      <c r="G283" s="96"/>
      <c r="H283" s="377"/>
      <c r="I283" s="376"/>
      <c r="J283" s="109"/>
      <c r="K283" s="383"/>
      <c r="L283" s="109"/>
      <c r="M283" s="166"/>
    </row>
    <row r="284" spans="1:13" ht="45" customHeight="1" x14ac:dyDescent="0.25">
      <c r="A284" s="17">
        <f t="shared" si="5"/>
        <v>271</v>
      </c>
      <c r="B284" s="139"/>
      <c r="C284" s="88"/>
      <c r="D284" s="112"/>
      <c r="E284" s="378"/>
      <c r="F284" s="380"/>
      <c r="G284" s="96"/>
      <c r="H284" s="97"/>
      <c r="I284" s="376"/>
      <c r="J284" s="165"/>
      <c r="K284" s="383"/>
      <c r="L284" s="165"/>
      <c r="M284" s="166"/>
    </row>
    <row r="285" spans="1:13" ht="45" customHeight="1" x14ac:dyDescent="0.25">
      <c r="A285" s="17">
        <f t="shared" si="5"/>
        <v>272</v>
      </c>
      <c r="B285" s="110"/>
      <c r="C285" s="88"/>
      <c r="D285" s="111"/>
      <c r="E285" s="378"/>
      <c r="F285" s="379"/>
      <c r="G285" s="96"/>
      <c r="H285" s="377"/>
      <c r="I285" s="376"/>
      <c r="J285" s="109"/>
      <c r="K285" s="382"/>
      <c r="L285" s="109"/>
      <c r="M285" s="167"/>
    </row>
    <row r="286" spans="1:13" ht="45" customHeight="1" x14ac:dyDescent="0.25">
      <c r="A286" s="17">
        <f t="shared" si="5"/>
        <v>273</v>
      </c>
      <c r="B286" s="139"/>
      <c r="C286" s="88"/>
      <c r="D286" s="112"/>
      <c r="E286" s="378"/>
      <c r="F286" s="380"/>
      <c r="G286" s="96"/>
      <c r="H286" s="97"/>
      <c r="I286" s="376"/>
      <c r="J286" s="165"/>
      <c r="K286" s="383"/>
      <c r="L286" s="165"/>
      <c r="M286" s="166"/>
    </row>
    <row r="287" spans="1:13" ht="45" customHeight="1" x14ac:dyDescent="0.25">
      <c r="A287" s="17">
        <f t="shared" si="5"/>
        <v>274</v>
      </c>
      <c r="B287" s="110"/>
      <c r="C287" s="88"/>
      <c r="D287" s="111"/>
      <c r="E287" s="378"/>
      <c r="F287" s="379"/>
      <c r="G287" s="96"/>
      <c r="H287" s="377"/>
      <c r="I287" s="376"/>
      <c r="J287" s="109"/>
      <c r="K287" s="382"/>
      <c r="L287" s="109"/>
      <c r="M287" s="167"/>
    </row>
    <row r="288" spans="1:13" ht="45" customHeight="1" x14ac:dyDescent="0.25">
      <c r="A288" s="17">
        <f t="shared" si="5"/>
        <v>275</v>
      </c>
      <c r="B288" s="139"/>
      <c r="C288" s="88"/>
      <c r="D288" s="112"/>
      <c r="E288" s="378"/>
      <c r="F288" s="380"/>
      <c r="G288" s="96"/>
      <c r="H288" s="97"/>
      <c r="I288" s="376"/>
      <c r="J288" s="165"/>
      <c r="K288" s="383"/>
      <c r="L288" s="165"/>
      <c r="M288" s="166"/>
    </row>
    <row r="289" spans="1:13" ht="45" customHeight="1" x14ac:dyDescent="0.25">
      <c r="A289" s="17">
        <f t="shared" si="5"/>
        <v>276</v>
      </c>
      <c r="B289" s="110"/>
      <c r="C289" s="88"/>
      <c r="D289" s="111"/>
      <c r="E289" s="378"/>
      <c r="F289" s="379"/>
      <c r="G289" s="96"/>
      <c r="H289" s="377"/>
      <c r="I289" s="376"/>
      <c r="J289" s="109"/>
      <c r="K289" s="382"/>
      <c r="L289" s="109"/>
      <c r="M289" s="167"/>
    </row>
    <row r="290" spans="1:13" ht="45" customHeight="1" x14ac:dyDescent="0.25">
      <c r="A290" s="17">
        <f t="shared" si="5"/>
        <v>277</v>
      </c>
      <c r="B290" s="139"/>
      <c r="C290" s="88"/>
      <c r="D290" s="112"/>
      <c r="E290" s="378"/>
      <c r="F290" s="380"/>
      <c r="G290" s="96"/>
      <c r="H290" s="97"/>
      <c r="I290" s="376"/>
      <c r="J290" s="165"/>
      <c r="K290" s="383"/>
      <c r="L290" s="165"/>
      <c r="M290" s="166"/>
    </row>
    <row r="291" spans="1:13" ht="45" customHeight="1" x14ac:dyDescent="0.25">
      <c r="A291" s="17">
        <f t="shared" si="5"/>
        <v>278</v>
      </c>
      <c r="B291" s="110"/>
      <c r="C291" s="88"/>
      <c r="D291" s="111"/>
      <c r="E291" s="378"/>
      <c r="F291" s="379"/>
      <c r="G291" s="96"/>
      <c r="H291" s="377"/>
      <c r="I291" s="376"/>
      <c r="J291" s="109"/>
      <c r="K291" s="382"/>
      <c r="L291" s="109"/>
      <c r="M291" s="167"/>
    </row>
    <row r="292" spans="1:13" ht="45" customHeight="1" x14ac:dyDescent="0.25">
      <c r="A292" s="17">
        <f t="shared" si="5"/>
        <v>279</v>
      </c>
      <c r="B292" s="139"/>
      <c r="C292" s="88"/>
      <c r="D292" s="112"/>
      <c r="E292" s="378"/>
      <c r="F292" s="380"/>
      <c r="G292" s="96"/>
      <c r="H292" s="97"/>
      <c r="I292" s="376"/>
      <c r="J292" s="168"/>
      <c r="K292" s="383"/>
      <c r="L292" s="168"/>
      <c r="M292" s="166"/>
    </row>
    <row r="293" spans="1:13" ht="45" customHeight="1" x14ac:dyDescent="0.25">
      <c r="A293" s="17">
        <f t="shared" si="5"/>
        <v>280</v>
      </c>
      <c r="B293" s="110"/>
      <c r="C293" s="88"/>
      <c r="D293" s="111"/>
      <c r="E293" s="378"/>
      <c r="F293" s="379"/>
      <c r="G293" s="96"/>
      <c r="H293" s="377"/>
      <c r="I293" s="376"/>
      <c r="J293" s="109"/>
      <c r="K293" s="383"/>
      <c r="L293" s="109"/>
      <c r="M293" s="166"/>
    </row>
    <row r="294" spans="1:13" ht="45" customHeight="1" x14ac:dyDescent="0.25">
      <c r="A294" s="17">
        <f t="shared" si="5"/>
        <v>281</v>
      </c>
      <c r="B294" s="139"/>
      <c r="C294" s="88"/>
      <c r="D294" s="112"/>
      <c r="E294" s="378"/>
      <c r="F294" s="380"/>
      <c r="G294" s="96"/>
      <c r="H294" s="97"/>
      <c r="I294" s="376"/>
      <c r="J294" s="165"/>
      <c r="K294" s="383"/>
      <c r="L294" s="165"/>
      <c r="M294" s="166"/>
    </row>
    <row r="295" spans="1:13" ht="45" customHeight="1" x14ac:dyDescent="0.25">
      <c r="A295" s="17">
        <f t="shared" si="5"/>
        <v>282</v>
      </c>
      <c r="B295" s="110"/>
      <c r="C295" s="88"/>
      <c r="D295" s="111"/>
      <c r="E295" s="378"/>
      <c r="F295" s="379"/>
      <c r="G295" s="96"/>
      <c r="H295" s="377"/>
      <c r="I295" s="376"/>
      <c r="J295" s="109"/>
      <c r="K295" s="382"/>
      <c r="L295" s="109"/>
      <c r="M295" s="167"/>
    </row>
    <row r="296" spans="1:13" ht="45" customHeight="1" x14ac:dyDescent="0.25">
      <c r="A296" s="17">
        <f t="shared" si="5"/>
        <v>283</v>
      </c>
      <c r="B296" s="139"/>
      <c r="C296" s="88"/>
      <c r="D296" s="112"/>
      <c r="E296" s="378"/>
      <c r="F296" s="380"/>
      <c r="G296" s="96"/>
      <c r="H296" s="97"/>
      <c r="I296" s="376"/>
      <c r="J296" s="165"/>
      <c r="K296" s="383"/>
      <c r="L296" s="165"/>
      <c r="M296" s="166"/>
    </row>
    <row r="297" spans="1:13" ht="45" customHeight="1" x14ac:dyDescent="0.25">
      <c r="A297" s="17">
        <f t="shared" si="5"/>
        <v>284</v>
      </c>
      <c r="B297" s="110"/>
      <c r="C297" s="88"/>
      <c r="D297" s="111"/>
      <c r="E297" s="378"/>
      <c r="F297" s="379"/>
      <c r="G297" s="96"/>
      <c r="H297" s="377"/>
      <c r="I297" s="376"/>
      <c r="J297" s="109"/>
      <c r="K297" s="382"/>
      <c r="L297" s="109"/>
      <c r="M297" s="167"/>
    </row>
    <row r="298" spans="1:13" ht="45" customHeight="1" x14ac:dyDescent="0.25">
      <c r="A298" s="17">
        <f t="shared" si="5"/>
        <v>285</v>
      </c>
      <c r="B298" s="139"/>
      <c r="C298" s="88"/>
      <c r="D298" s="112"/>
      <c r="E298" s="378"/>
      <c r="F298" s="380"/>
      <c r="G298" s="96"/>
      <c r="H298" s="97"/>
      <c r="I298" s="376"/>
      <c r="J298" s="165"/>
      <c r="K298" s="383"/>
      <c r="L298" s="165"/>
      <c r="M298" s="166"/>
    </row>
    <row r="299" spans="1:13" ht="45" customHeight="1" x14ac:dyDescent="0.25">
      <c r="A299" s="17">
        <f t="shared" si="5"/>
        <v>286</v>
      </c>
      <c r="B299" s="110"/>
      <c r="C299" s="88"/>
      <c r="D299" s="111"/>
      <c r="E299" s="378"/>
      <c r="F299" s="379"/>
      <c r="G299" s="96"/>
      <c r="H299" s="377"/>
      <c r="I299" s="376"/>
      <c r="J299" s="109"/>
      <c r="K299" s="382"/>
      <c r="L299" s="109"/>
      <c r="M299" s="167"/>
    </row>
    <row r="300" spans="1:13" ht="45" customHeight="1" x14ac:dyDescent="0.25">
      <c r="A300" s="17">
        <f t="shared" si="5"/>
        <v>287</v>
      </c>
      <c r="B300" s="139"/>
      <c r="C300" s="88"/>
      <c r="D300" s="112"/>
      <c r="E300" s="378"/>
      <c r="F300" s="380"/>
      <c r="G300" s="96"/>
      <c r="H300" s="97"/>
      <c r="I300" s="376"/>
      <c r="J300" s="165"/>
      <c r="K300" s="383"/>
      <c r="L300" s="165"/>
      <c r="M300" s="166"/>
    </row>
    <row r="301" spans="1:13" ht="45" customHeight="1" x14ac:dyDescent="0.25">
      <c r="A301" s="17">
        <f t="shared" si="5"/>
        <v>288</v>
      </c>
      <c r="B301" s="110"/>
      <c r="C301" s="88"/>
      <c r="D301" s="111"/>
      <c r="E301" s="378"/>
      <c r="F301" s="379"/>
      <c r="G301" s="96"/>
      <c r="H301" s="377"/>
      <c r="I301" s="376"/>
      <c r="J301" s="109"/>
      <c r="K301" s="382"/>
      <c r="L301" s="109"/>
      <c r="M301" s="167"/>
    </row>
    <row r="302" spans="1:13" ht="45" customHeight="1" x14ac:dyDescent="0.25">
      <c r="A302" s="17">
        <f t="shared" si="5"/>
        <v>289</v>
      </c>
      <c r="B302" s="139"/>
      <c r="C302" s="88"/>
      <c r="D302" s="112"/>
      <c r="E302" s="378"/>
      <c r="F302" s="380"/>
      <c r="G302" s="96"/>
      <c r="H302" s="97"/>
      <c r="I302" s="376"/>
      <c r="J302" s="168"/>
      <c r="K302" s="383"/>
      <c r="L302" s="168"/>
      <c r="M302" s="166"/>
    </row>
    <row r="303" spans="1:13" ht="45" customHeight="1" x14ac:dyDescent="0.25">
      <c r="A303" s="17">
        <f t="shared" si="5"/>
        <v>290</v>
      </c>
      <c r="B303" s="110"/>
      <c r="C303" s="88"/>
      <c r="D303" s="111"/>
      <c r="E303" s="378"/>
      <c r="F303" s="379"/>
      <c r="G303" s="96"/>
      <c r="H303" s="377"/>
      <c r="I303" s="376"/>
      <c r="J303" s="109"/>
      <c r="K303" s="383"/>
      <c r="L303" s="109"/>
      <c r="M303" s="166"/>
    </row>
    <row r="304" spans="1:13" ht="45" customHeight="1" x14ac:dyDescent="0.25">
      <c r="A304" s="17">
        <f t="shared" si="5"/>
        <v>291</v>
      </c>
      <c r="B304" s="139"/>
      <c r="C304" s="88"/>
      <c r="D304" s="112"/>
      <c r="E304" s="378"/>
      <c r="F304" s="380"/>
      <c r="G304" s="96"/>
      <c r="H304" s="97"/>
      <c r="I304" s="376"/>
      <c r="J304" s="165"/>
      <c r="K304" s="383"/>
      <c r="L304" s="165"/>
      <c r="M304" s="166"/>
    </row>
    <row r="305" spans="1:13" ht="45" customHeight="1" x14ac:dyDescent="0.25">
      <c r="A305" s="17">
        <f t="shared" si="5"/>
        <v>292</v>
      </c>
      <c r="B305" s="110"/>
      <c r="C305" s="88"/>
      <c r="D305" s="111"/>
      <c r="E305" s="378"/>
      <c r="F305" s="379"/>
      <c r="G305" s="96"/>
      <c r="H305" s="377"/>
      <c r="I305" s="376"/>
      <c r="J305" s="109"/>
      <c r="K305" s="382"/>
      <c r="L305" s="109"/>
      <c r="M305" s="167"/>
    </row>
    <row r="306" spans="1:13" ht="45" customHeight="1" x14ac:dyDescent="0.25">
      <c r="A306" s="17">
        <f t="shared" si="5"/>
        <v>293</v>
      </c>
      <c r="B306" s="139"/>
      <c r="C306" s="88"/>
      <c r="D306" s="112"/>
      <c r="E306" s="378"/>
      <c r="F306" s="380"/>
      <c r="G306" s="96"/>
      <c r="H306" s="97"/>
      <c r="I306" s="376"/>
      <c r="J306" s="165"/>
      <c r="K306" s="383"/>
      <c r="L306" s="165"/>
      <c r="M306" s="166"/>
    </row>
    <row r="307" spans="1:13" ht="45" customHeight="1" x14ac:dyDescent="0.25">
      <c r="A307" s="17">
        <f t="shared" si="5"/>
        <v>294</v>
      </c>
      <c r="B307" s="110"/>
      <c r="C307" s="88"/>
      <c r="D307" s="111"/>
      <c r="E307" s="378"/>
      <c r="F307" s="379"/>
      <c r="G307" s="96"/>
      <c r="H307" s="377"/>
      <c r="I307" s="376"/>
      <c r="J307" s="109"/>
      <c r="K307" s="382"/>
      <c r="L307" s="109"/>
      <c r="M307" s="167"/>
    </row>
    <row r="308" spans="1:13" ht="45" customHeight="1" x14ac:dyDescent="0.25">
      <c r="A308" s="17">
        <f t="shared" si="5"/>
        <v>295</v>
      </c>
      <c r="B308" s="139"/>
      <c r="C308" s="88"/>
      <c r="D308" s="112"/>
      <c r="E308" s="378"/>
      <c r="F308" s="380"/>
      <c r="G308" s="96"/>
      <c r="H308" s="97"/>
      <c r="I308" s="376"/>
      <c r="J308" s="165"/>
      <c r="K308" s="383"/>
      <c r="L308" s="165"/>
      <c r="M308" s="166"/>
    </row>
    <row r="309" spans="1:13" ht="45" customHeight="1" x14ac:dyDescent="0.25">
      <c r="A309" s="17">
        <f t="shared" si="5"/>
        <v>296</v>
      </c>
      <c r="B309" s="110"/>
      <c r="C309" s="88"/>
      <c r="D309" s="111"/>
      <c r="E309" s="378"/>
      <c r="F309" s="379"/>
      <c r="G309" s="96"/>
      <c r="H309" s="377"/>
      <c r="I309" s="376"/>
      <c r="J309" s="109"/>
      <c r="K309" s="382"/>
      <c r="L309" s="109"/>
      <c r="M309" s="167"/>
    </row>
    <row r="310" spans="1:13" ht="45" customHeight="1" x14ac:dyDescent="0.25">
      <c r="A310" s="17">
        <f t="shared" si="5"/>
        <v>297</v>
      </c>
      <c r="B310" s="139"/>
      <c r="C310" s="88"/>
      <c r="D310" s="112"/>
      <c r="E310" s="378"/>
      <c r="F310" s="380"/>
      <c r="G310" s="96"/>
      <c r="H310" s="97"/>
      <c r="I310" s="376"/>
      <c r="J310" s="165"/>
      <c r="K310" s="383"/>
      <c r="L310" s="165"/>
      <c r="M310" s="166"/>
    </row>
    <row r="311" spans="1:13" ht="45" customHeight="1" x14ac:dyDescent="0.25">
      <c r="A311" s="17">
        <f t="shared" si="5"/>
        <v>298</v>
      </c>
      <c r="B311" s="110"/>
      <c r="C311" s="88"/>
      <c r="D311" s="111"/>
      <c r="E311" s="378"/>
      <c r="F311" s="379"/>
      <c r="G311" s="96"/>
      <c r="H311" s="377"/>
      <c r="I311" s="376"/>
      <c r="J311" s="109"/>
      <c r="K311" s="382"/>
      <c r="L311" s="109"/>
      <c r="M311" s="167"/>
    </row>
    <row r="312" spans="1:13" ht="45" customHeight="1" x14ac:dyDescent="0.25">
      <c r="A312" s="17">
        <f t="shared" si="5"/>
        <v>299</v>
      </c>
      <c r="B312" s="139"/>
      <c r="C312" s="88"/>
      <c r="D312" s="112"/>
      <c r="E312" s="378"/>
      <c r="F312" s="380"/>
      <c r="G312" s="96"/>
      <c r="H312" s="97"/>
      <c r="I312" s="376"/>
      <c r="J312" s="168"/>
      <c r="K312" s="383"/>
      <c r="L312" s="168"/>
      <c r="M312" s="166"/>
    </row>
    <row r="313" spans="1:13" ht="45" customHeight="1" x14ac:dyDescent="0.25">
      <c r="A313" s="17">
        <f t="shared" si="5"/>
        <v>300</v>
      </c>
      <c r="B313" s="110"/>
      <c r="C313" s="88"/>
      <c r="D313" s="111"/>
      <c r="E313" s="378"/>
      <c r="F313" s="379"/>
      <c r="G313" s="96"/>
      <c r="H313" s="377"/>
      <c r="I313" s="376"/>
      <c r="J313" s="109"/>
      <c r="K313" s="383"/>
      <c r="L313" s="109"/>
      <c r="M313" s="166"/>
    </row>
    <row r="314" spans="1:13" ht="45" customHeight="1" x14ac:dyDescent="0.25">
      <c r="A314" s="17">
        <f t="shared" si="5"/>
        <v>301</v>
      </c>
      <c r="B314" s="139"/>
      <c r="C314" s="88"/>
      <c r="D314" s="112"/>
      <c r="E314" s="378"/>
      <c r="F314" s="380"/>
      <c r="G314" s="96"/>
      <c r="H314" s="97"/>
      <c r="I314" s="376"/>
      <c r="J314" s="165"/>
      <c r="K314" s="383"/>
      <c r="L314" s="165"/>
      <c r="M314" s="166"/>
    </row>
    <row r="315" spans="1:13" ht="45" customHeight="1" x14ac:dyDescent="0.25">
      <c r="A315" s="17">
        <f t="shared" si="5"/>
        <v>302</v>
      </c>
      <c r="B315" s="110"/>
      <c r="C315" s="88"/>
      <c r="D315" s="111"/>
      <c r="E315" s="378"/>
      <c r="F315" s="379"/>
      <c r="G315" s="96"/>
      <c r="H315" s="377"/>
      <c r="I315" s="376"/>
      <c r="J315" s="109"/>
      <c r="K315" s="382"/>
      <c r="L315" s="109"/>
      <c r="M315" s="167"/>
    </row>
    <row r="316" spans="1:13" ht="45" customHeight="1" x14ac:dyDescent="0.25">
      <c r="A316" s="17">
        <f t="shared" si="5"/>
        <v>303</v>
      </c>
      <c r="B316" s="139"/>
      <c r="C316" s="88"/>
      <c r="D316" s="112"/>
      <c r="E316" s="378"/>
      <c r="F316" s="380"/>
      <c r="G316" s="96"/>
      <c r="H316" s="97"/>
      <c r="I316" s="376"/>
      <c r="J316" s="165"/>
      <c r="K316" s="383"/>
      <c r="L316" s="165"/>
      <c r="M316" s="166"/>
    </row>
    <row r="317" spans="1:13" ht="45" customHeight="1" x14ac:dyDescent="0.25">
      <c r="A317" s="17">
        <f t="shared" si="5"/>
        <v>304</v>
      </c>
      <c r="B317" s="110"/>
      <c r="C317" s="88"/>
      <c r="D317" s="111"/>
      <c r="E317" s="378"/>
      <c r="F317" s="379"/>
      <c r="G317" s="96"/>
      <c r="H317" s="377"/>
      <c r="I317" s="376"/>
      <c r="J317" s="109"/>
      <c r="K317" s="382"/>
      <c r="L317" s="109"/>
      <c r="M317" s="167"/>
    </row>
    <row r="318" spans="1:13" ht="45" customHeight="1" x14ac:dyDescent="0.25">
      <c r="A318" s="17">
        <f t="shared" si="5"/>
        <v>305</v>
      </c>
      <c r="B318" s="139"/>
      <c r="C318" s="88"/>
      <c r="D318" s="112"/>
      <c r="E318" s="378"/>
      <c r="F318" s="380"/>
      <c r="G318" s="96"/>
      <c r="H318" s="97"/>
      <c r="I318" s="376"/>
      <c r="J318" s="165"/>
      <c r="K318" s="383"/>
      <c r="L318" s="165"/>
      <c r="M318" s="166"/>
    </row>
    <row r="319" spans="1:13" ht="45" customHeight="1" x14ac:dyDescent="0.25">
      <c r="A319" s="17">
        <f t="shared" si="5"/>
        <v>306</v>
      </c>
      <c r="B319" s="110"/>
      <c r="C319" s="88"/>
      <c r="D319" s="111"/>
      <c r="E319" s="378"/>
      <c r="F319" s="379"/>
      <c r="G319" s="96"/>
      <c r="H319" s="377"/>
      <c r="I319" s="376"/>
      <c r="J319" s="109"/>
      <c r="K319" s="382"/>
      <c r="L319" s="109"/>
      <c r="M319" s="167"/>
    </row>
    <row r="320" spans="1:13" ht="45" customHeight="1" x14ac:dyDescent="0.25">
      <c r="A320" s="17">
        <f t="shared" si="5"/>
        <v>307</v>
      </c>
      <c r="B320" s="139"/>
      <c r="C320" s="88"/>
      <c r="D320" s="112"/>
      <c r="E320" s="378"/>
      <c r="F320" s="380"/>
      <c r="G320" s="96"/>
      <c r="H320" s="97"/>
      <c r="I320" s="376"/>
      <c r="J320" s="165"/>
      <c r="K320" s="383"/>
      <c r="L320" s="165"/>
      <c r="M320" s="166"/>
    </row>
    <row r="321" spans="1:13" ht="45" customHeight="1" x14ac:dyDescent="0.25">
      <c r="A321" s="17">
        <f t="shared" si="5"/>
        <v>308</v>
      </c>
      <c r="B321" s="110"/>
      <c r="C321" s="88"/>
      <c r="D321" s="111"/>
      <c r="E321" s="378"/>
      <c r="F321" s="379"/>
      <c r="G321" s="96"/>
      <c r="H321" s="377"/>
      <c r="I321" s="376"/>
      <c r="J321" s="109"/>
      <c r="K321" s="382"/>
      <c r="L321" s="109"/>
      <c r="M321" s="167"/>
    </row>
    <row r="322" spans="1:13" ht="45" customHeight="1" x14ac:dyDescent="0.25">
      <c r="A322" s="17">
        <f t="shared" si="5"/>
        <v>309</v>
      </c>
      <c r="B322" s="139"/>
      <c r="C322" s="88"/>
      <c r="D322" s="112"/>
      <c r="E322" s="378"/>
      <c r="F322" s="380"/>
      <c r="G322" s="96"/>
      <c r="H322" s="97"/>
      <c r="I322" s="376"/>
      <c r="J322" s="168"/>
      <c r="K322" s="383"/>
      <c r="L322" s="168"/>
      <c r="M322" s="166"/>
    </row>
    <row r="323" spans="1:13" ht="45" customHeight="1" x14ac:dyDescent="0.25">
      <c r="A323" s="17">
        <f t="shared" si="5"/>
        <v>310</v>
      </c>
      <c r="B323" s="110"/>
      <c r="C323" s="88"/>
      <c r="D323" s="111"/>
      <c r="E323" s="378"/>
      <c r="F323" s="379"/>
      <c r="G323" s="96"/>
      <c r="H323" s="377"/>
      <c r="I323" s="376"/>
      <c r="J323" s="109"/>
      <c r="K323" s="383"/>
      <c r="L323" s="109"/>
      <c r="M323" s="166"/>
    </row>
    <row r="324" spans="1:13" ht="45" customHeight="1" x14ac:dyDescent="0.25">
      <c r="A324" s="17">
        <f t="shared" si="5"/>
        <v>311</v>
      </c>
      <c r="B324" s="139"/>
      <c r="C324" s="88"/>
      <c r="D324" s="112"/>
      <c r="E324" s="378"/>
      <c r="F324" s="380"/>
      <c r="G324" s="96"/>
      <c r="H324" s="97"/>
      <c r="I324" s="376"/>
      <c r="J324" s="165"/>
      <c r="K324" s="383"/>
      <c r="L324" s="165"/>
      <c r="M324" s="166"/>
    </row>
    <row r="325" spans="1:13" ht="45" customHeight="1" x14ac:dyDescent="0.25">
      <c r="A325" s="17">
        <f t="shared" si="5"/>
        <v>312</v>
      </c>
      <c r="B325" s="110"/>
      <c r="C325" s="88"/>
      <c r="D325" s="111"/>
      <c r="E325" s="378"/>
      <c r="F325" s="379"/>
      <c r="G325" s="96"/>
      <c r="H325" s="377"/>
      <c r="I325" s="376"/>
      <c r="J325" s="109"/>
      <c r="K325" s="382"/>
      <c r="L325" s="109"/>
      <c r="M325" s="167"/>
    </row>
    <row r="326" spans="1:13" ht="45" customHeight="1" x14ac:dyDescent="0.25">
      <c r="A326" s="17">
        <f t="shared" si="5"/>
        <v>313</v>
      </c>
      <c r="B326" s="139"/>
      <c r="C326" s="88"/>
      <c r="D326" s="112"/>
      <c r="E326" s="378"/>
      <c r="F326" s="380"/>
      <c r="G326" s="96"/>
      <c r="H326" s="97"/>
      <c r="I326" s="376"/>
      <c r="J326" s="165"/>
      <c r="K326" s="383"/>
      <c r="L326" s="165"/>
      <c r="M326" s="166"/>
    </row>
    <row r="327" spans="1:13" ht="45" customHeight="1" x14ac:dyDescent="0.25">
      <c r="A327" s="17">
        <f t="shared" si="5"/>
        <v>314</v>
      </c>
      <c r="B327" s="110"/>
      <c r="C327" s="88"/>
      <c r="D327" s="111"/>
      <c r="E327" s="378"/>
      <c r="F327" s="379"/>
      <c r="G327" s="96"/>
      <c r="H327" s="377"/>
      <c r="I327" s="376"/>
      <c r="J327" s="109"/>
      <c r="K327" s="382"/>
      <c r="L327" s="109"/>
      <c r="M327" s="167"/>
    </row>
    <row r="328" spans="1:13" ht="45" customHeight="1" x14ac:dyDescent="0.25">
      <c r="A328" s="17">
        <f t="shared" si="5"/>
        <v>315</v>
      </c>
      <c r="B328" s="139"/>
      <c r="C328" s="88"/>
      <c r="D328" s="112"/>
      <c r="E328" s="378"/>
      <c r="F328" s="380"/>
      <c r="G328" s="96"/>
      <c r="H328" s="97"/>
      <c r="I328" s="376"/>
      <c r="J328" s="165"/>
      <c r="K328" s="383"/>
      <c r="L328" s="165"/>
      <c r="M328" s="166"/>
    </row>
    <row r="329" spans="1:13" ht="45" customHeight="1" x14ac:dyDescent="0.25">
      <c r="A329" s="17">
        <f t="shared" si="5"/>
        <v>316</v>
      </c>
      <c r="B329" s="110"/>
      <c r="C329" s="88"/>
      <c r="D329" s="111"/>
      <c r="E329" s="378"/>
      <c r="F329" s="379"/>
      <c r="G329" s="96"/>
      <c r="H329" s="377"/>
      <c r="I329" s="376"/>
      <c r="J329" s="109"/>
      <c r="K329" s="382"/>
      <c r="L329" s="109"/>
      <c r="M329" s="167"/>
    </row>
    <row r="330" spans="1:13" ht="45" customHeight="1" x14ac:dyDescent="0.25">
      <c r="A330" s="17">
        <f t="shared" si="5"/>
        <v>317</v>
      </c>
      <c r="B330" s="139"/>
      <c r="C330" s="88"/>
      <c r="D330" s="112"/>
      <c r="E330" s="378"/>
      <c r="F330" s="380"/>
      <c r="G330" s="96"/>
      <c r="H330" s="97"/>
      <c r="I330" s="376"/>
      <c r="J330" s="165"/>
      <c r="K330" s="383"/>
      <c r="L330" s="165"/>
      <c r="M330" s="166"/>
    </row>
    <row r="331" spans="1:13" ht="45" customHeight="1" x14ac:dyDescent="0.25">
      <c r="A331" s="17">
        <f t="shared" si="5"/>
        <v>318</v>
      </c>
      <c r="B331" s="110"/>
      <c r="C331" s="88"/>
      <c r="D331" s="111"/>
      <c r="E331" s="378"/>
      <c r="F331" s="379"/>
      <c r="G331" s="96"/>
      <c r="H331" s="377"/>
      <c r="I331" s="376"/>
      <c r="J331" s="109"/>
      <c r="K331" s="382"/>
      <c r="L331" s="109"/>
      <c r="M331" s="167"/>
    </row>
    <row r="332" spans="1:13" ht="45" customHeight="1" x14ac:dyDescent="0.25">
      <c r="A332" s="17">
        <f t="shared" si="5"/>
        <v>319</v>
      </c>
      <c r="B332" s="139"/>
      <c r="C332" s="88"/>
      <c r="D332" s="112"/>
      <c r="E332" s="378"/>
      <c r="F332" s="380"/>
      <c r="G332" s="96"/>
      <c r="H332" s="97"/>
      <c r="I332" s="376"/>
      <c r="J332" s="168"/>
      <c r="K332" s="383"/>
      <c r="L332" s="168"/>
      <c r="M332" s="166"/>
    </row>
    <row r="333" spans="1:13" ht="45" customHeight="1" x14ac:dyDescent="0.25">
      <c r="A333" s="17">
        <f t="shared" si="5"/>
        <v>320</v>
      </c>
      <c r="B333" s="110"/>
      <c r="C333" s="88"/>
      <c r="D333" s="111"/>
      <c r="E333" s="378"/>
      <c r="F333" s="379"/>
      <c r="G333" s="96"/>
      <c r="H333" s="377"/>
      <c r="I333" s="376"/>
      <c r="J333" s="109"/>
      <c r="K333" s="383"/>
      <c r="L333" s="109"/>
      <c r="M333" s="166"/>
    </row>
    <row r="334" spans="1:13" ht="45" customHeight="1" x14ac:dyDescent="0.25">
      <c r="A334" s="17">
        <f t="shared" ref="A334:A372" si="6">ROW(A321)</f>
        <v>321</v>
      </c>
      <c r="B334" s="139"/>
      <c r="C334" s="88"/>
      <c r="D334" s="112"/>
      <c r="E334" s="378"/>
      <c r="F334" s="380"/>
      <c r="G334" s="96"/>
      <c r="H334" s="97"/>
      <c r="I334" s="376"/>
      <c r="J334" s="165"/>
      <c r="K334" s="383"/>
      <c r="L334" s="165"/>
      <c r="M334" s="166"/>
    </row>
    <row r="335" spans="1:13" ht="45" customHeight="1" x14ac:dyDescent="0.25">
      <c r="A335" s="17">
        <f t="shared" si="6"/>
        <v>322</v>
      </c>
      <c r="B335" s="110"/>
      <c r="C335" s="88"/>
      <c r="D335" s="111"/>
      <c r="E335" s="378"/>
      <c r="F335" s="379"/>
      <c r="G335" s="96"/>
      <c r="H335" s="377"/>
      <c r="I335" s="376"/>
      <c r="J335" s="109"/>
      <c r="K335" s="382"/>
      <c r="L335" s="109"/>
      <c r="M335" s="167"/>
    </row>
    <row r="336" spans="1:13" ht="45" customHeight="1" x14ac:dyDescent="0.25">
      <c r="A336" s="17">
        <f t="shared" si="6"/>
        <v>323</v>
      </c>
      <c r="B336" s="139"/>
      <c r="C336" s="88"/>
      <c r="D336" s="112"/>
      <c r="E336" s="378"/>
      <c r="F336" s="380"/>
      <c r="G336" s="96"/>
      <c r="H336" s="97"/>
      <c r="I336" s="376"/>
      <c r="J336" s="165"/>
      <c r="K336" s="383"/>
      <c r="L336" s="165"/>
      <c r="M336" s="166"/>
    </row>
    <row r="337" spans="1:13" ht="45" customHeight="1" x14ac:dyDescent="0.25">
      <c r="A337" s="17">
        <f t="shared" si="6"/>
        <v>324</v>
      </c>
      <c r="B337" s="110"/>
      <c r="C337" s="88"/>
      <c r="D337" s="111"/>
      <c r="E337" s="378"/>
      <c r="F337" s="379"/>
      <c r="G337" s="96"/>
      <c r="H337" s="377"/>
      <c r="I337" s="376"/>
      <c r="J337" s="109"/>
      <c r="K337" s="382"/>
      <c r="L337" s="109"/>
      <c r="M337" s="167"/>
    </row>
    <row r="338" spans="1:13" ht="45" customHeight="1" x14ac:dyDescent="0.25">
      <c r="A338" s="17">
        <f t="shared" si="6"/>
        <v>325</v>
      </c>
      <c r="B338" s="139"/>
      <c r="C338" s="88"/>
      <c r="D338" s="112"/>
      <c r="E338" s="378"/>
      <c r="F338" s="380"/>
      <c r="G338" s="96"/>
      <c r="H338" s="97"/>
      <c r="I338" s="376"/>
      <c r="J338" s="165"/>
      <c r="K338" s="383"/>
      <c r="L338" s="165"/>
      <c r="M338" s="166"/>
    </row>
    <row r="339" spans="1:13" ht="45" customHeight="1" x14ac:dyDescent="0.25">
      <c r="A339" s="17">
        <f t="shared" si="6"/>
        <v>326</v>
      </c>
      <c r="B339" s="110"/>
      <c r="C339" s="88"/>
      <c r="D339" s="111"/>
      <c r="E339" s="378"/>
      <c r="F339" s="379"/>
      <c r="G339" s="96"/>
      <c r="H339" s="377"/>
      <c r="I339" s="376"/>
      <c r="J339" s="109"/>
      <c r="K339" s="382"/>
      <c r="L339" s="109"/>
      <c r="M339" s="167"/>
    </row>
    <row r="340" spans="1:13" ht="45" customHeight="1" x14ac:dyDescent="0.25">
      <c r="A340" s="17">
        <f t="shared" si="6"/>
        <v>327</v>
      </c>
      <c r="B340" s="139"/>
      <c r="C340" s="88"/>
      <c r="D340" s="112"/>
      <c r="E340" s="378"/>
      <c r="F340" s="380"/>
      <c r="G340" s="96"/>
      <c r="H340" s="97"/>
      <c r="I340" s="376"/>
      <c r="J340" s="165"/>
      <c r="K340" s="383"/>
      <c r="L340" s="165"/>
      <c r="M340" s="166"/>
    </row>
    <row r="341" spans="1:13" ht="45" customHeight="1" x14ac:dyDescent="0.25">
      <c r="A341" s="17">
        <f t="shared" si="6"/>
        <v>328</v>
      </c>
      <c r="B341" s="110"/>
      <c r="C341" s="88"/>
      <c r="D341" s="111"/>
      <c r="E341" s="378"/>
      <c r="F341" s="379"/>
      <c r="G341" s="96"/>
      <c r="H341" s="377"/>
      <c r="I341" s="376"/>
      <c r="J341" s="109"/>
      <c r="K341" s="382"/>
      <c r="L341" s="109"/>
      <c r="M341" s="167"/>
    </row>
    <row r="342" spans="1:13" ht="45" customHeight="1" x14ac:dyDescent="0.25">
      <c r="A342" s="17">
        <f t="shared" si="6"/>
        <v>329</v>
      </c>
      <c r="B342" s="139"/>
      <c r="C342" s="88"/>
      <c r="D342" s="112"/>
      <c r="E342" s="378"/>
      <c r="F342" s="380"/>
      <c r="G342" s="96"/>
      <c r="H342" s="97"/>
      <c r="I342" s="376"/>
      <c r="J342" s="168"/>
      <c r="K342" s="383"/>
      <c r="L342" s="168"/>
      <c r="M342" s="166"/>
    </row>
    <row r="343" spans="1:13" ht="45" customHeight="1" x14ac:dyDescent="0.25">
      <c r="A343" s="17">
        <f t="shared" si="6"/>
        <v>330</v>
      </c>
      <c r="B343" s="110"/>
      <c r="C343" s="88"/>
      <c r="D343" s="111"/>
      <c r="E343" s="378"/>
      <c r="F343" s="379"/>
      <c r="G343" s="96"/>
      <c r="H343" s="377"/>
      <c r="I343" s="376"/>
      <c r="J343" s="109"/>
      <c r="K343" s="383"/>
      <c r="L343" s="109"/>
      <c r="M343" s="166"/>
    </row>
    <row r="344" spans="1:13" ht="45" customHeight="1" x14ac:dyDescent="0.25">
      <c r="A344" s="17">
        <f t="shared" si="6"/>
        <v>331</v>
      </c>
      <c r="B344" s="139"/>
      <c r="C344" s="88"/>
      <c r="D344" s="112"/>
      <c r="E344" s="378"/>
      <c r="F344" s="380"/>
      <c r="G344" s="96"/>
      <c r="H344" s="97"/>
      <c r="I344" s="376"/>
      <c r="J344" s="165"/>
      <c r="K344" s="383"/>
      <c r="L344" s="165"/>
      <c r="M344" s="166"/>
    </row>
    <row r="345" spans="1:13" ht="45" customHeight="1" x14ac:dyDescent="0.25">
      <c r="A345" s="17">
        <f t="shared" si="6"/>
        <v>332</v>
      </c>
      <c r="B345" s="110"/>
      <c r="C345" s="88"/>
      <c r="D345" s="111"/>
      <c r="E345" s="378"/>
      <c r="F345" s="379"/>
      <c r="G345" s="96"/>
      <c r="H345" s="377"/>
      <c r="I345" s="376"/>
      <c r="J345" s="109"/>
      <c r="K345" s="382"/>
      <c r="L345" s="109"/>
      <c r="M345" s="167"/>
    </row>
    <row r="346" spans="1:13" ht="45" customHeight="1" x14ac:dyDescent="0.25">
      <c r="A346" s="17">
        <f t="shared" si="6"/>
        <v>333</v>
      </c>
      <c r="B346" s="139"/>
      <c r="C346" s="88"/>
      <c r="D346" s="112"/>
      <c r="E346" s="378"/>
      <c r="F346" s="380"/>
      <c r="G346" s="96"/>
      <c r="H346" s="97"/>
      <c r="I346" s="376"/>
      <c r="J346" s="165"/>
      <c r="K346" s="383"/>
      <c r="L346" s="165"/>
      <c r="M346" s="166"/>
    </row>
    <row r="347" spans="1:13" ht="45" customHeight="1" x14ac:dyDescent="0.25">
      <c r="A347" s="17">
        <f t="shared" si="6"/>
        <v>334</v>
      </c>
      <c r="B347" s="110"/>
      <c r="C347" s="88"/>
      <c r="D347" s="111"/>
      <c r="E347" s="378"/>
      <c r="F347" s="379"/>
      <c r="G347" s="96"/>
      <c r="H347" s="377"/>
      <c r="I347" s="376"/>
      <c r="J347" s="109"/>
      <c r="K347" s="382"/>
      <c r="L347" s="109"/>
      <c r="M347" s="167"/>
    </row>
    <row r="348" spans="1:13" ht="45" customHeight="1" x14ac:dyDescent="0.25">
      <c r="A348" s="17">
        <f t="shared" si="6"/>
        <v>335</v>
      </c>
      <c r="B348" s="139"/>
      <c r="C348" s="88"/>
      <c r="D348" s="112"/>
      <c r="E348" s="378"/>
      <c r="F348" s="380"/>
      <c r="G348" s="96"/>
      <c r="H348" s="97"/>
      <c r="I348" s="376"/>
      <c r="J348" s="165"/>
      <c r="K348" s="383"/>
      <c r="L348" s="165"/>
      <c r="M348" s="166"/>
    </row>
    <row r="349" spans="1:13" ht="45" customHeight="1" x14ac:dyDescent="0.25">
      <c r="A349" s="17">
        <f t="shared" si="6"/>
        <v>336</v>
      </c>
      <c r="B349" s="110"/>
      <c r="C349" s="88"/>
      <c r="D349" s="111"/>
      <c r="E349" s="378"/>
      <c r="F349" s="379"/>
      <c r="G349" s="96"/>
      <c r="H349" s="377"/>
      <c r="I349" s="376"/>
      <c r="J349" s="109"/>
      <c r="K349" s="382"/>
      <c r="L349" s="109"/>
      <c r="M349" s="167"/>
    </row>
    <row r="350" spans="1:13" ht="45" customHeight="1" x14ac:dyDescent="0.25">
      <c r="A350" s="17">
        <f t="shared" si="6"/>
        <v>337</v>
      </c>
      <c r="B350" s="139"/>
      <c r="C350" s="88"/>
      <c r="D350" s="112"/>
      <c r="E350" s="378"/>
      <c r="F350" s="380"/>
      <c r="G350" s="96"/>
      <c r="H350" s="97"/>
      <c r="I350" s="376"/>
      <c r="J350" s="165"/>
      <c r="K350" s="383"/>
      <c r="L350" s="165"/>
      <c r="M350" s="166"/>
    </row>
    <row r="351" spans="1:13" ht="45" customHeight="1" x14ac:dyDescent="0.25">
      <c r="A351" s="17">
        <f t="shared" si="6"/>
        <v>338</v>
      </c>
      <c r="B351" s="110"/>
      <c r="C351" s="88"/>
      <c r="D351" s="111"/>
      <c r="E351" s="378"/>
      <c r="F351" s="379"/>
      <c r="G351" s="96"/>
      <c r="H351" s="377"/>
      <c r="I351" s="376"/>
      <c r="J351" s="109"/>
      <c r="K351" s="382"/>
      <c r="L351" s="109"/>
      <c r="M351" s="167"/>
    </row>
    <row r="352" spans="1:13" ht="45" customHeight="1" x14ac:dyDescent="0.25">
      <c r="A352" s="17">
        <f t="shared" si="6"/>
        <v>339</v>
      </c>
      <c r="B352" s="139"/>
      <c r="C352" s="88"/>
      <c r="D352" s="112"/>
      <c r="E352" s="378"/>
      <c r="F352" s="380"/>
      <c r="G352" s="96"/>
      <c r="H352" s="97"/>
      <c r="I352" s="376"/>
      <c r="J352" s="168"/>
      <c r="K352" s="383"/>
      <c r="L352" s="168"/>
      <c r="M352" s="166"/>
    </row>
    <row r="353" spans="1:13" ht="45" customHeight="1" x14ac:dyDescent="0.25">
      <c r="A353" s="17">
        <f t="shared" si="6"/>
        <v>340</v>
      </c>
      <c r="B353" s="110"/>
      <c r="C353" s="88"/>
      <c r="D353" s="111"/>
      <c r="E353" s="378"/>
      <c r="F353" s="379"/>
      <c r="G353" s="96"/>
      <c r="H353" s="377"/>
      <c r="I353" s="376"/>
      <c r="J353" s="109"/>
      <c r="K353" s="383"/>
      <c r="L353" s="109"/>
      <c r="M353" s="166"/>
    </row>
    <row r="354" spans="1:13" ht="45" customHeight="1" x14ac:dyDescent="0.25">
      <c r="A354" s="17">
        <f t="shared" si="6"/>
        <v>341</v>
      </c>
      <c r="B354" s="139"/>
      <c r="C354" s="88"/>
      <c r="D354" s="112"/>
      <c r="E354" s="378"/>
      <c r="F354" s="380"/>
      <c r="G354" s="96"/>
      <c r="H354" s="97"/>
      <c r="I354" s="376"/>
      <c r="J354" s="165"/>
      <c r="K354" s="383"/>
      <c r="L354" s="165"/>
      <c r="M354" s="166"/>
    </row>
    <row r="355" spans="1:13" ht="45" customHeight="1" x14ac:dyDescent="0.25">
      <c r="A355" s="17">
        <f t="shared" si="6"/>
        <v>342</v>
      </c>
      <c r="B355" s="110"/>
      <c r="C355" s="88"/>
      <c r="D355" s="111"/>
      <c r="E355" s="378"/>
      <c r="F355" s="379"/>
      <c r="G355" s="96"/>
      <c r="H355" s="377"/>
      <c r="I355" s="376"/>
      <c r="J355" s="109"/>
      <c r="K355" s="382"/>
      <c r="L355" s="109"/>
      <c r="M355" s="167"/>
    </row>
    <row r="356" spans="1:13" ht="45" customHeight="1" x14ac:dyDescent="0.25">
      <c r="A356" s="17">
        <f t="shared" si="6"/>
        <v>343</v>
      </c>
      <c r="B356" s="139"/>
      <c r="C356" s="88"/>
      <c r="D356" s="112"/>
      <c r="E356" s="378"/>
      <c r="F356" s="380"/>
      <c r="G356" s="96"/>
      <c r="H356" s="97"/>
      <c r="I356" s="376"/>
      <c r="J356" s="165"/>
      <c r="K356" s="383"/>
      <c r="L356" s="165"/>
      <c r="M356" s="166"/>
    </row>
    <row r="357" spans="1:13" ht="45" customHeight="1" x14ac:dyDescent="0.25">
      <c r="A357" s="17">
        <f t="shared" si="6"/>
        <v>344</v>
      </c>
      <c r="B357" s="110"/>
      <c r="C357" s="88"/>
      <c r="D357" s="111"/>
      <c r="E357" s="378"/>
      <c r="F357" s="379"/>
      <c r="G357" s="96"/>
      <c r="H357" s="377"/>
      <c r="I357" s="376"/>
      <c r="J357" s="109"/>
      <c r="K357" s="382"/>
      <c r="L357" s="109"/>
      <c r="M357" s="167"/>
    </row>
    <row r="358" spans="1:13" ht="45" customHeight="1" x14ac:dyDescent="0.25">
      <c r="A358" s="17">
        <f t="shared" si="6"/>
        <v>345</v>
      </c>
      <c r="B358" s="139"/>
      <c r="C358" s="88"/>
      <c r="D358" s="112"/>
      <c r="E358" s="378"/>
      <c r="F358" s="380"/>
      <c r="G358" s="96"/>
      <c r="H358" s="97"/>
      <c r="I358" s="376"/>
      <c r="J358" s="165"/>
      <c r="K358" s="383"/>
      <c r="L358" s="165"/>
      <c r="M358" s="166"/>
    </row>
    <row r="359" spans="1:13" ht="45" customHeight="1" x14ac:dyDescent="0.25">
      <c r="A359" s="17">
        <f t="shared" si="6"/>
        <v>346</v>
      </c>
      <c r="B359" s="110"/>
      <c r="C359" s="88"/>
      <c r="D359" s="111"/>
      <c r="E359" s="378"/>
      <c r="F359" s="379"/>
      <c r="G359" s="96"/>
      <c r="H359" s="377"/>
      <c r="I359" s="376"/>
      <c r="J359" s="109"/>
      <c r="K359" s="382"/>
      <c r="L359" s="109"/>
      <c r="M359" s="167"/>
    </row>
    <row r="360" spans="1:13" ht="45" customHeight="1" x14ac:dyDescent="0.25">
      <c r="A360" s="17">
        <f t="shared" si="6"/>
        <v>347</v>
      </c>
      <c r="B360" s="139"/>
      <c r="C360" s="88"/>
      <c r="D360" s="112"/>
      <c r="E360" s="378"/>
      <c r="F360" s="380"/>
      <c r="G360" s="96"/>
      <c r="H360" s="97"/>
      <c r="I360" s="376"/>
      <c r="J360" s="165"/>
      <c r="K360" s="383"/>
      <c r="L360" s="165"/>
      <c r="M360" s="166"/>
    </row>
    <row r="361" spans="1:13" ht="45" customHeight="1" x14ac:dyDescent="0.25">
      <c r="A361" s="17">
        <f t="shared" si="6"/>
        <v>348</v>
      </c>
      <c r="B361" s="110"/>
      <c r="C361" s="88"/>
      <c r="D361" s="111"/>
      <c r="E361" s="378"/>
      <c r="F361" s="379"/>
      <c r="G361" s="96"/>
      <c r="H361" s="377"/>
      <c r="I361" s="376"/>
      <c r="J361" s="109"/>
      <c r="K361" s="382"/>
      <c r="L361" s="109"/>
      <c r="M361" s="167"/>
    </row>
    <row r="362" spans="1:13" ht="45" customHeight="1" x14ac:dyDescent="0.25">
      <c r="A362" s="17">
        <f t="shared" si="6"/>
        <v>349</v>
      </c>
      <c r="B362" s="139"/>
      <c r="C362" s="88"/>
      <c r="D362" s="112"/>
      <c r="E362" s="378"/>
      <c r="F362" s="380"/>
      <c r="G362" s="96"/>
      <c r="H362" s="97"/>
      <c r="I362" s="376"/>
      <c r="J362" s="168"/>
      <c r="K362" s="383"/>
      <c r="L362" s="168"/>
      <c r="M362" s="166"/>
    </row>
    <row r="363" spans="1:13" ht="45" customHeight="1" x14ac:dyDescent="0.25">
      <c r="A363" s="17">
        <f t="shared" si="6"/>
        <v>350</v>
      </c>
      <c r="B363" s="110"/>
      <c r="C363" s="88"/>
      <c r="D363" s="111"/>
      <c r="E363" s="378"/>
      <c r="F363" s="379"/>
      <c r="G363" s="96"/>
      <c r="H363" s="377"/>
      <c r="I363" s="376"/>
      <c r="J363" s="109"/>
      <c r="K363" s="383"/>
      <c r="L363" s="109"/>
      <c r="M363" s="166"/>
    </row>
    <row r="364" spans="1:13" ht="45" customHeight="1" x14ac:dyDescent="0.25">
      <c r="A364" s="17">
        <f t="shared" si="6"/>
        <v>351</v>
      </c>
      <c r="B364" s="139"/>
      <c r="C364" s="88"/>
      <c r="D364" s="112"/>
      <c r="E364" s="378"/>
      <c r="F364" s="380"/>
      <c r="G364" s="96"/>
      <c r="H364" s="97"/>
      <c r="I364" s="376"/>
      <c r="J364" s="165"/>
      <c r="K364" s="383"/>
      <c r="L364" s="165"/>
      <c r="M364" s="166"/>
    </row>
    <row r="365" spans="1:13" ht="45" customHeight="1" x14ac:dyDescent="0.25">
      <c r="A365" s="17">
        <f t="shared" si="6"/>
        <v>352</v>
      </c>
      <c r="B365" s="110"/>
      <c r="C365" s="88"/>
      <c r="D365" s="111"/>
      <c r="E365" s="378"/>
      <c r="F365" s="379"/>
      <c r="G365" s="96"/>
      <c r="H365" s="377"/>
      <c r="I365" s="376"/>
      <c r="J365" s="109"/>
      <c r="K365" s="382"/>
      <c r="L365" s="109"/>
      <c r="M365" s="167"/>
    </row>
    <row r="366" spans="1:13" ht="45" customHeight="1" x14ac:dyDescent="0.25">
      <c r="A366" s="17">
        <f t="shared" si="6"/>
        <v>353</v>
      </c>
      <c r="B366" s="139"/>
      <c r="C366" s="88"/>
      <c r="D366" s="112"/>
      <c r="E366" s="378"/>
      <c r="F366" s="380"/>
      <c r="G366" s="96"/>
      <c r="H366" s="97"/>
      <c r="I366" s="376"/>
      <c r="J366" s="165"/>
      <c r="K366" s="383"/>
      <c r="L366" s="165"/>
      <c r="M366" s="166"/>
    </row>
    <row r="367" spans="1:13" ht="45" customHeight="1" x14ac:dyDescent="0.25">
      <c r="A367" s="17">
        <f t="shared" si="6"/>
        <v>354</v>
      </c>
      <c r="B367" s="110"/>
      <c r="C367" s="88"/>
      <c r="D367" s="111"/>
      <c r="E367" s="378"/>
      <c r="F367" s="379"/>
      <c r="G367" s="96"/>
      <c r="H367" s="377"/>
      <c r="I367" s="376"/>
      <c r="J367" s="109"/>
      <c r="K367" s="382"/>
      <c r="L367" s="109"/>
      <c r="M367" s="167"/>
    </row>
    <row r="368" spans="1:13" ht="45" customHeight="1" x14ac:dyDescent="0.25">
      <c r="A368" s="17">
        <f t="shared" si="6"/>
        <v>355</v>
      </c>
      <c r="B368" s="139"/>
      <c r="C368" s="88"/>
      <c r="D368" s="112"/>
      <c r="E368" s="378"/>
      <c r="F368" s="380"/>
      <c r="G368" s="96"/>
      <c r="H368" s="97"/>
      <c r="I368" s="376"/>
      <c r="J368" s="165"/>
      <c r="K368" s="383"/>
      <c r="L368" s="165"/>
      <c r="M368" s="166"/>
    </row>
    <row r="369" spans="1:13" ht="45" customHeight="1" x14ac:dyDescent="0.25">
      <c r="A369" s="17">
        <f t="shared" si="6"/>
        <v>356</v>
      </c>
      <c r="B369" s="110"/>
      <c r="C369" s="88"/>
      <c r="D369" s="111"/>
      <c r="E369" s="378"/>
      <c r="F369" s="379"/>
      <c r="G369" s="96"/>
      <c r="H369" s="377"/>
      <c r="I369" s="376"/>
      <c r="J369" s="109"/>
      <c r="K369" s="382"/>
      <c r="L369" s="109"/>
      <c r="M369" s="167"/>
    </row>
    <row r="370" spans="1:13" ht="45" customHeight="1" x14ac:dyDescent="0.25">
      <c r="A370" s="17">
        <f t="shared" si="6"/>
        <v>357</v>
      </c>
      <c r="B370" s="139"/>
      <c r="C370" s="88"/>
      <c r="D370" s="112"/>
      <c r="E370" s="378"/>
      <c r="F370" s="380"/>
      <c r="G370" s="96"/>
      <c r="H370" s="97"/>
      <c r="I370" s="376"/>
      <c r="J370" s="165"/>
      <c r="K370" s="383"/>
      <c r="L370" s="165"/>
      <c r="M370" s="166"/>
    </row>
    <row r="371" spans="1:13" ht="45" customHeight="1" x14ac:dyDescent="0.25">
      <c r="A371" s="17">
        <f t="shared" si="6"/>
        <v>358</v>
      </c>
      <c r="B371" s="110"/>
      <c r="C371" s="88"/>
      <c r="D371" s="111"/>
      <c r="E371" s="378"/>
      <c r="F371" s="379"/>
      <c r="G371" s="96"/>
      <c r="H371" s="377"/>
      <c r="I371" s="376"/>
      <c r="J371" s="109"/>
      <c r="K371" s="382"/>
      <c r="L371" s="109"/>
      <c r="M371" s="167"/>
    </row>
    <row r="372" spans="1:13" ht="45" customHeight="1" x14ac:dyDescent="0.25">
      <c r="A372" s="17">
        <f t="shared" si="6"/>
        <v>359</v>
      </c>
      <c r="B372" s="139"/>
      <c r="C372" s="88"/>
      <c r="D372" s="112"/>
      <c r="E372" s="378"/>
      <c r="F372" s="380"/>
      <c r="G372" s="96"/>
      <c r="H372" s="97"/>
      <c r="I372" s="376"/>
      <c r="J372" s="168"/>
      <c r="K372" s="383"/>
      <c r="L372" s="168"/>
      <c r="M372" s="166"/>
    </row>
  </sheetData>
  <sheetProtection algorithmName="SHA-512" hashValue="1uXNihGXrR1qYz7UmWEq2II2ujsLpl5DAaPAuG8rsZx338RHQnJxNxjSikr38HYbad5VvdnCk8L6TfIns+CZ7A==" saltValue="Spm1FrmfEo21FFEOxuzO9A==" spinCount="100000" sheet="1" objects="1" scenarios="1"/>
  <mergeCells count="20">
    <mergeCell ref="I8:L8"/>
    <mergeCell ref="I9:L9"/>
    <mergeCell ref="I10:L10"/>
    <mergeCell ref="A11:L11"/>
    <mergeCell ref="A12:D12"/>
    <mergeCell ref="E12:I12"/>
    <mergeCell ref="J12:L12"/>
    <mergeCell ref="A2:M2"/>
    <mergeCell ref="A3:M3"/>
    <mergeCell ref="A4:M4"/>
    <mergeCell ref="A5:M5"/>
    <mergeCell ref="A6:D6"/>
    <mergeCell ref="I6:L6"/>
    <mergeCell ref="I7:L7"/>
    <mergeCell ref="A7:D7"/>
    <mergeCell ref="A10:D10"/>
    <mergeCell ref="E6:H6"/>
    <mergeCell ref="E7:H7"/>
    <mergeCell ref="E8:H9"/>
    <mergeCell ref="A8:D9"/>
  </mergeCells>
  <conditionalFormatting sqref="A14:M372">
    <cfRule type="expression" dxfId="3" priority="1">
      <formula>$K14="YES"</formula>
    </cfRule>
  </conditionalFormatting>
  <conditionalFormatting sqref="D23:D25">
    <cfRule type="expression" dxfId="2" priority="2">
      <formula>$BH23="YES"</formula>
    </cfRule>
  </conditionalFormatting>
  <dataValidations count="4">
    <dataValidation type="date" allowBlank="1" showInputMessage="1" showErrorMessage="1" prompt="Use MM/DD/YYYY format.  Leave blank until date is needed. " sqref="B14:B372 J14:J372 L14:L372" xr:uid="{00000000-0002-0000-0300-000000000000}">
      <formula1>36526</formula1>
      <formula2>46022</formula2>
    </dataValidation>
    <dataValidation type="whole" allowBlank="1" showInputMessage="1" showErrorMessage="1" prompt="Use a number, do NOT use alphabet" sqref="F14:F372" xr:uid="{00000000-0002-0000-0300-000001000000}">
      <formula1>0</formula1>
      <formula2>150</formula2>
    </dataValidation>
    <dataValidation allowBlank="1" showInputMessage="1" showErrorMessage="1" prompt="Do not submit with identifying information. " sqref="C14:C372" xr:uid="{D97C26D9-EC53-4C0E-A195-B447BF80BEBF}"/>
    <dataValidation allowBlank="1" showInputMessage="1" showErrorMessage="1" prompt="General note section with this tab.  Do not submit with client identifying information " sqref="M14:M372" xr:uid="{5BA4C3BB-9825-43D4-B5B5-4A1DF762F75A}"/>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Select an option from drop-down list. " xr:uid="{00000000-0002-0000-0300-000002000000}">
          <x14:formula1>
            <xm:f>'pick list '!$J$3:$J$57</xm:f>
          </x14:formula1>
          <xm:sqref>E14:E372</xm:sqref>
        </x14:dataValidation>
        <x14:dataValidation type="list" allowBlank="1" showInputMessage="1" showErrorMessage="1" prompt="Select an option from drop-down list. " xr:uid="{00000000-0002-0000-0300-000004000000}">
          <x14:formula1>
            <xm:f>'pick list '!$L$3:$L$4</xm:f>
          </x14:formula1>
          <xm:sqref>G14:G372</xm:sqref>
        </x14:dataValidation>
        <x14:dataValidation type="list" allowBlank="1" showInputMessage="1" showErrorMessage="1" prompt="Select an option from drop-down list. " xr:uid="{00000000-0002-0000-0300-000005000000}">
          <x14:formula1>
            <xm:f>'pick list '!$G$3:$G$9</xm:f>
          </x14:formula1>
          <xm:sqref>H14:H372</xm:sqref>
        </x14:dataValidation>
        <x14:dataValidation type="list" allowBlank="1" showInputMessage="1" showErrorMessage="1" prompt="Select an option from drop-down list. " xr:uid="{00000000-0002-0000-0300-000006000000}">
          <x14:formula1>
            <xm:f>'pick list '!$M$9:$M$10</xm:f>
          </x14:formula1>
          <xm:sqref>K14:K372</xm:sqref>
        </x14:dataValidation>
        <x14:dataValidation type="list" allowBlank="1" showInputMessage="1" showErrorMessage="1" prompt="Select an option from drop-down list. " xr:uid="{5BD5C7F5-DEF0-484E-B9EB-F6EBF220BE30}">
          <x14:formula1>
            <xm:f>'pick list '!$G$12:$G$14</xm:f>
          </x14:formula1>
          <xm:sqref>I13:I372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H413"/>
  <sheetViews>
    <sheetView zoomScale="80" zoomScaleNormal="80" workbookViewId="0">
      <pane ySplit="4" topLeftCell="A5" activePane="bottomLeft" state="frozen"/>
      <selection activeCell="N1" sqref="N1"/>
      <selection pane="bottomLeft" activeCell="B14" sqref="B14:G14"/>
    </sheetView>
  </sheetViews>
  <sheetFormatPr defaultColWidth="9.140625" defaultRowHeight="15" x14ac:dyDescent="0.25"/>
  <cols>
    <col min="1" max="1" width="9.85546875" customWidth="1"/>
    <col min="2" max="2" width="16.7109375" customWidth="1"/>
    <col min="3" max="3" width="28.85546875" customWidth="1"/>
    <col min="4" max="4" width="33.85546875" customWidth="1"/>
    <col min="5" max="5" width="39.85546875" customWidth="1"/>
    <col min="6" max="6" width="37.5703125" customWidth="1"/>
    <col min="7" max="7" width="14.7109375" customWidth="1"/>
    <col min="8" max="8" width="62.28515625" customWidth="1"/>
  </cols>
  <sheetData>
    <row r="1" spans="1:8" ht="39.950000000000003" customHeight="1" x14ac:dyDescent="0.25">
      <c r="A1" s="170" t="s">
        <v>317</v>
      </c>
      <c r="B1" s="171" t="s">
        <v>318</v>
      </c>
      <c r="C1" s="172" t="s">
        <v>319</v>
      </c>
      <c r="D1" s="173" t="s">
        <v>320</v>
      </c>
      <c r="E1" s="174" t="s">
        <v>321</v>
      </c>
      <c r="F1" s="175" t="s">
        <v>322</v>
      </c>
      <c r="G1" s="176" t="s">
        <v>323</v>
      </c>
      <c r="H1" s="177" t="s">
        <v>324</v>
      </c>
    </row>
    <row r="2" spans="1:8" ht="18.75" x14ac:dyDescent="0.25">
      <c r="A2" s="405" t="str">
        <f>'BASE GRANTEE SET UP &amp; INFO'!A1</f>
        <v>WV Bureau for Behavioral Health and Health Facilities - Traumatic Brain Injury (TBI) Program V20210501</v>
      </c>
      <c r="B2" s="406"/>
      <c r="C2" s="406"/>
      <c r="D2" s="406"/>
      <c r="E2" s="406"/>
      <c r="F2" s="406"/>
      <c r="G2" s="406"/>
      <c r="H2" s="407"/>
    </row>
    <row r="3" spans="1:8" ht="18.75" x14ac:dyDescent="0.25">
      <c r="A3" s="597" t="str">
        <f>'BASE GRANTEE SET UP &amp; INFO'!A2</f>
        <v>Fiscal Year 2022 (July 1, 2021- June 30, 2022) includes data elements from previous years</v>
      </c>
      <c r="B3" s="590"/>
      <c r="C3" s="590"/>
      <c r="D3" s="590"/>
      <c r="E3" s="590"/>
      <c r="F3" s="590"/>
      <c r="G3" s="590"/>
      <c r="H3" s="598"/>
    </row>
    <row r="4" spans="1:8" ht="15" customHeight="1" x14ac:dyDescent="0.25">
      <c r="A4" s="486" t="str">
        <f>'BASE GRANTEE SET UP &amp; INFO'!A3</f>
        <v xml:space="preserve">Program reports need to be submitted electronically, via e-mail to DHHRBBHReporting@wv.gov within 25 calendar days of the end of each month </v>
      </c>
      <c r="B4" s="487"/>
      <c r="C4" s="487"/>
      <c r="D4" s="487"/>
      <c r="E4" s="487"/>
      <c r="F4" s="487"/>
      <c r="G4" s="487"/>
      <c r="H4" s="488"/>
    </row>
    <row r="5" spans="1:8" ht="24.95" customHeight="1" x14ac:dyDescent="0.25">
      <c r="A5" s="608" t="s">
        <v>325</v>
      </c>
      <c r="B5" s="609"/>
      <c r="C5" s="609"/>
      <c r="D5" s="609"/>
      <c r="E5" s="609"/>
      <c r="F5" s="609"/>
      <c r="G5" s="609"/>
      <c r="H5" s="609"/>
    </row>
    <row r="6" spans="1:8" ht="18.75" x14ac:dyDescent="0.25">
      <c r="A6" s="611" t="s">
        <v>326</v>
      </c>
      <c r="B6" s="611"/>
      <c r="C6" s="611"/>
      <c r="D6" s="611"/>
      <c r="E6" s="611"/>
      <c r="F6" s="611"/>
      <c r="G6" s="360"/>
      <c r="H6" s="360"/>
    </row>
    <row r="7" spans="1:8" ht="20.100000000000001" customHeight="1" x14ac:dyDescent="0.25">
      <c r="A7" s="612" t="s">
        <v>204</v>
      </c>
      <c r="B7" s="612"/>
      <c r="C7" s="612"/>
      <c r="D7" s="613" t="str">
        <f>'BASE GRANTEE SET UP &amp; INFO'!G5</f>
        <v xml:space="preserve">Traumatic Brain Injury (TBI) Program </v>
      </c>
      <c r="E7" s="613"/>
      <c r="F7" s="365" t="s">
        <v>31</v>
      </c>
      <c r="G7" s="613" t="str">
        <f>'BASE GRANTEE SET UP &amp; INFO'!Y5</f>
        <v xml:space="preserve">WV University Research Corporation - WVU Center of Excellence in Disabilities </v>
      </c>
      <c r="H7" s="613"/>
    </row>
    <row r="8" spans="1:8" ht="20.100000000000001" customHeight="1" x14ac:dyDescent="0.25">
      <c r="A8" s="612" t="s">
        <v>207</v>
      </c>
      <c r="B8" s="612"/>
      <c r="C8" s="612"/>
      <c r="D8" s="613" t="str">
        <f>'BASE GRANTEE SET UP &amp; INFO'!G6</f>
        <v xml:space="preserve">TBI Program </v>
      </c>
      <c r="E8" s="613"/>
      <c r="F8" s="365" t="s">
        <v>209</v>
      </c>
      <c r="G8" s="613">
        <f>'BASE GRANTEE SET UP &amp; INFO'!Y6</f>
        <v>0</v>
      </c>
      <c r="H8" s="613"/>
    </row>
    <row r="9" spans="1:8" ht="15" customHeight="1" x14ac:dyDescent="0.25">
      <c r="A9" s="506" t="s">
        <v>210</v>
      </c>
      <c r="B9" s="507"/>
      <c r="C9" s="508"/>
      <c r="D9" s="604" t="str">
        <f>'BASE GRANTEE SET UP &amp; INFO'!G7</f>
        <v>959 Hartman Run Road, Morgantown, WV 26506</v>
      </c>
      <c r="E9" s="615"/>
      <c r="F9" s="365" t="s">
        <v>212</v>
      </c>
      <c r="G9" s="613">
        <f>'BASE GRANTEE SET UP &amp; INFO'!Y7</f>
        <v>0</v>
      </c>
      <c r="H9" s="613"/>
    </row>
    <row r="10" spans="1:8" x14ac:dyDescent="0.25">
      <c r="A10" s="509"/>
      <c r="B10" s="510"/>
      <c r="C10" s="511"/>
      <c r="D10" s="606"/>
      <c r="E10" s="616"/>
      <c r="F10" s="361" t="s">
        <v>213</v>
      </c>
      <c r="G10" s="613">
        <f>'BASE GRANTEE SET UP &amp; INFO'!Y8</f>
        <v>0</v>
      </c>
      <c r="H10" s="613"/>
    </row>
    <row r="11" spans="1:8" ht="20.100000000000001" customHeight="1" x14ac:dyDescent="0.25">
      <c r="A11" s="582" t="s">
        <v>285</v>
      </c>
      <c r="B11" s="582"/>
      <c r="C11" s="582"/>
      <c r="D11" s="358" t="str">
        <f>'BASE GRANTEE SET UP &amp; INFO'!I9</f>
        <v>July</v>
      </c>
      <c r="E11" s="352">
        <f>'BASE GRANTEE SET UP &amp; INFO'!M9</f>
        <v>2023</v>
      </c>
      <c r="F11" s="361" t="s">
        <v>218</v>
      </c>
      <c r="G11" s="614">
        <f>'BASE GRANTEE SET UP &amp; INFO'!Y9</f>
        <v>0</v>
      </c>
      <c r="H11" s="614"/>
    </row>
    <row r="12" spans="1:8" ht="39.950000000000003" customHeight="1" x14ac:dyDescent="0.25">
      <c r="A12" s="610" t="s">
        <v>327</v>
      </c>
      <c r="B12" s="610"/>
      <c r="C12" s="610"/>
      <c r="D12" s="610"/>
      <c r="E12" s="610"/>
      <c r="F12" s="610"/>
      <c r="G12" s="610"/>
      <c r="H12" s="610"/>
    </row>
    <row r="13" spans="1:8" ht="45" customHeight="1" x14ac:dyDescent="0.25">
      <c r="A13" s="362" t="s">
        <v>317</v>
      </c>
      <c r="B13" s="116" t="s">
        <v>318</v>
      </c>
      <c r="C13" s="211" t="s">
        <v>319</v>
      </c>
      <c r="D13" s="280" t="s">
        <v>320</v>
      </c>
      <c r="E13" s="117" t="s">
        <v>321</v>
      </c>
      <c r="F13" s="118" t="s">
        <v>328</v>
      </c>
      <c r="G13" s="169" t="s">
        <v>323</v>
      </c>
      <c r="H13" s="115" t="s">
        <v>324</v>
      </c>
    </row>
    <row r="14" spans="1:8" ht="39.950000000000003" customHeight="1" x14ac:dyDescent="0.25">
      <c r="A14" s="363">
        <f>ROW(A1)</f>
        <v>1</v>
      </c>
      <c r="B14" s="119"/>
      <c r="C14" s="214"/>
      <c r="D14" s="120"/>
      <c r="E14" s="121"/>
      <c r="F14" s="122"/>
      <c r="G14" s="212"/>
      <c r="H14" s="178"/>
    </row>
    <row r="15" spans="1:8" ht="39.950000000000003" customHeight="1" x14ac:dyDescent="0.25">
      <c r="A15" s="363">
        <f t="shared" ref="A15:A78" si="0">ROW(A2)</f>
        <v>2</v>
      </c>
      <c r="B15" s="119"/>
      <c r="C15" s="215"/>
      <c r="D15" s="120"/>
      <c r="E15" s="142"/>
      <c r="F15" s="122"/>
      <c r="G15" s="213"/>
      <c r="H15" s="178"/>
    </row>
    <row r="16" spans="1:8" ht="39.950000000000003" customHeight="1" x14ac:dyDescent="0.25">
      <c r="A16" s="363">
        <f t="shared" si="0"/>
        <v>3</v>
      </c>
      <c r="B16" s="119"/>
      <c r="C16" s="214"/>
      <c r="D16" s="120"/>
      <c r="E16" s="121"/>
      <c r="F16" s="122"/>
      <c r="G16" s="212"/>
      <c r="H16" s="178"/>
    </row>
    <row r="17" spans="1:8" ht="39.950000000000003" customHeight="1" x14ac:dyDescent="0.25">
      <c r="A17" s="363">
        <f t="shared" si="0"/>
        <v>4</v>
      </c>
      <c r="B17" s="119"/>
      <c r="C17" s="215"/>
      <c r="D17" s="120"/>
      <c r="E17" s="142"/>
      <c r="F17" s="122"/>
      <c r="G17" s="213"/>
      <c r="H17" s="178"/>
    </row>
    <row r="18" spans="1:8" ht="39.950000000000003" customHeight="1" x14ac:dyDescent="0.25">
      <c r="A18" s="363">
        <f t="shared" si="0"/>
        <v>5</v>
      </c>
      <c r="B18" s="119"/>
      <c r="C18" s="214"/>
      <c r="D18" s="120"/>
      <c r="E18" s="121"/>
      <c r="F18" s="122"/>
      <c r="G18" s="212"/>
      <c r="H18" s="178"/>
    </row>
    <row r="19" spans="1:8" ht="39.950000000000003" customHeight="1" x14ac:dyDescent="0.25">
      <c r="A19" s="363">
        <f t="shared" si="0"/>
        <v>6</v>
      </c>
      <c r="B19" s="119"/>
      <c r="C19" s="215"/>
      <c r="D19" s="120"/>
      <c r="E19" s="142"/>
      <c r="F19" s="122"/>
      <c r="G19" s="213"/>
      <c r="H19" s="178"/>
    </row>
    <row r="20" spans="1:8" ht="39.950000000000003" customHeight="1" x14ac:dyDescent="0.25">
      <c r="A20" s="363">
        <f t="shared" si="0"/>
        <v>7</v>
      </c>
      <c r="B20" s="119"/>
      <c r="C20" s="214"/>
      <c r="D20" s="120"/>
      <c r="E20" s="121"/>
      <c r="F20" s="122"/>
      <c r="G20" s="212"/>
      <c r="H20" s="178"/>
    </row>
    <row r="21" spans="1:8" ht="39.950000000000003" customHeight="1" x14ac:dyDescent="0.25">
      <c r="A21" s="363">
        <f t="shared" si="0"/>
        <v>8</v>
      </c>
      <c r="B21" s="119"/>
      <c r="C21" s="215"/>
      <c r="D21" s="120"/>
      <c r="E21" s="142"/>
      <c r="F21" s="122"/>
      <c r="G21" s="213"/>
      <c r="H21" s="178"/>
    </row>
    <row r="22" spans="1:8" ht="39.950000000000003" customHeight="1" x14ac:dyDescent="0.25">
      <c r="A22" s="363">
        <f t="shared" si="0"/>
        <v>9</v>
      </c>
      <c r="B22" s="119"/>
      <c r="C22" s="214"/>
      <c r="D22" s="120"/>
      <c r="E22" s="121"/>
      <c r="F22" s="122"/>
      <c r="G22" s="212"/>
      <c r="H22" s="178"/>
    </row>
    <row r="23" spans="1:8" ht="39.950000000000003" customHeight="1" x14ac:dyDescent="0.25">
      <c r="A23" s="363">
        <f t="shared" si="0"/>
        <v>10</v>
      </c>
      <c r="B23" s="119"/>
      <c r="C23" s="215"/>
      <c r="D23" s="120"/>
      <c r="E23" s="142"/>
      <c r="F23" s="122"/>
      <c r="G23" s="213"/>
      <c r="H23" s="178"/>
    </row>
    <row r="24" spans="1:8" ht="39.950000000000003" customHeight="1" x14ac:dyDescent="0.25">
      <c r="A24" s="363">
        <f t="shared" si="0"/>
        <v>11</v>
      </c>
      <c r="B24" s="119"/>
      <c r="C24" s="279"/>
      <c r="D24" s="120"/>
      <c r="E24" s="121"/>
      <c r="F24" s="122"/>
      <c r="G24" s="212"/>
      <c r="H24" s="178"/>
    </row>
    <row r="25" spans="1:8" ht="39.950000000000003" customHeight="1" x14ac:dyDescent="0.25">
      <c r="A25" s="363">
        <f t="shared" si="0"/>
        <v>12</v>
      </c>
      <c r="B25" s="119"/>
      <c r="C25" s="214"/>
      <c r="D25" s="120"/>
      <c r="E25" s="142"/>
      <c r="F25" s="122"/>
      <c r="G25" s="213"/>
      <c r="H25" s="178"/>
    </row>
    <row r="26" spans="1:8" ht="39.950000000000003" customHeight="1" x14ac:dyDescent="0.25">
      <c r="A26" s="363">
        <f t="shared" si="0"/>
        <v>13</v>
      </c>
      <c r="B26" s="119"/>
      <c r="C26" s="215"/>
      <c r="D26" s="120"/>
      <c r="E26" s="121"/>
      <c r="F26" s="122"/>
      <c r="G26" s="212"/>
      <c r="H26" s="178"/>
    </row>
    <row r="27" spans="1:8" ht="39.950000000000003" customHeight="1" x14ac:dyDescent="0.25">
      <c r="A27" s="363">
        <f t="shared" si="0"/>
        <v>14</v>
      </c>
      <c r="B27" s="119"/>
      <c r="C27" s="214"/>
      <c r="D27" s="120"/>
      <c r="E27" s="142"/>
      <c r="F27" s="122"/>
      <c r="G27" s="213"/>
      <c r="H27" s="178"/>
    </row>
    <row r="28" spans="1:8" ht="39.950000000000003" customHeight="1" x14ac:dyDescent="0.25">
      <c r="A28" s="363">
        <f t="shared" si="0"/>
        <v>15</v>
      </c>
      <c r="B28" s="119"/>
      <c r="C28" s="215"/>
      <c r="D28" s="120"/>
      <c r="E28" s="121"/>
      <c r="F28" s="122"/>
      <c r="G28" s="212"/>
      <c r="H28" s="178"/>
    </row>
    <row r="29" spans="1:8" ht="39.950000000000003" customHeight="1" x14ac:dyDescent="0.25">
      <c r="A29" s="363">
        <f t="shared" si="0"/>
        <v>16</v>
      </c>
      <c r="B29" s="119"/>
      <c r="C29" s="214"/>
      <c r="D29" s="120"/>
      <c r="E29" s="142"/>
      <c r="F29" s="122"/>
      <c r="G29" s="213"/>
      <c r="H29" s="178"/>
    </row>
    <row r="30" spans="1:8" ht="39.950000000000003" customHeight="1" x14ac:dyDescent="0.25">
      <c r="A30" s="363">
        <f t="shared" si="0"/>
        <v>17</v>
      </c>
      <c r="B30" s="119"/>
      <c r="C30" s="215"/>
      <c r="D30" s="120"/>
      <c r="E30" s="121"/>
      <c r="F30" s="122"/>
      <c r="G30" s="212"/>
      <c r="H30" s="178"/>
    </row>
    <row r="31" spans="1:8" ht="39.950000000000003" customHeight="1" x14ac:dyDescent="0.25">
      <c r="A31" s="363">
        <f t="shared" si="0"/>
        <v>18</v>
      </c>
      <c r="B31" s="119"/>
      <c r="C31" s="214"/>
      <c r="D31" s="120"/>
      <c r="E31" s="142"/>
      <c r="F31" s="122"/>
      <c r="G31" s="213"/>
      <c r="H31" s="178"/>
    </row>
    <row r="32" spans="1:8" ht="39.950000000000003" customHeight="1" x14ac:dyDescent="0.25">
      <c r="A32" s="363">
        <f t="shared" si="0"/>
        <v>19</v>
      </c>
      <c r="B32" s="119"/>
      <c r="C32" s="215"/>
      <c r="D32" s="120"/>
      <c r="E32" s="121"/>
      <c r="F32" s="122"/>
      <c r="G32" s="212"/>
      <c r="H32" s="178"/>
    </row>
    <row r="33" spans="1:8" ht="39.950000000000003" customHeight="1" x14ac:dyDescent="0.25">
      <c r="A33" s="363">
        <f t="shared" si="0"/>
        <v>20</v>
      </c>
      <c r="B33" s="119"/>
      <c r="C33" s="214"/>
      <c r="D33" s="120"/>
      <c r="E33" s="142"/>
      <c r="F33" s="122"/>
      <c r="G33" s="213"/>
      <c r="H33" s="178"/>
    </row>
    <row r="34" spans="1:8" ht="39.950000000000003" customHeight="1" x14ac:dyDescent="0.25">
      <c r="A34" s="363">
        <f t="shared" si="0"/>
        <v>21</v>
      </c>
      <c r="B34" s="119"/>
      <c r="C34" s="215"/>
      <c r="D34" s="120"/>
      <c r="E34" s="121"/>
      <c r="F34" s="122"/>
      <c r="G34" s="212"/>
      <c r="H34" s="178"/>
    </row>
    <row r="35" spans="1:8" ht="39.950000000000003" customHeight="1" x14ac:dyDescent="0.25">
      <c r="A35" s="363">
        <f t="shared" si="0"/>
        <v>22</v>
      </c>
      <c r="B35" s="119"/>
      <c r="C35" s="279"/>
      <c r="D35" s="120"/>
      <c r="E35" s="142"/>
      <c r="F35" s="122"/>
      <c r="G35" s="213"/>
      <c r="H35" s="178"/>
    </row>
    <row r="36" spans="1:8" ht="39.950000000000003" customHeight="1" x14ac:dyDescent="0.25">
      <c r="A36" s="363">
        <f t="shared" si="0"/>
        <v>23</v>
      </c>
      <c r="B36" s="119"/>
      <c r="C36" s="214"/>
      <c r="D36" s="120"/>
      <c r="E36" s="121"/>
      <c r="F36" s="122"/>
      <c r="G36" s="212"/>
      <c r="H36" s="178"/>
    </row>
    <row r="37" spans="1:8" ht="39.950000000000003" customHeight="1" x14ac:dyDescent="0.25">
      <c r="A37" s="363">
        <f t="shared" si="0"/>
        <v>24</v>
      </c>
      <c r="B37" s="119"/>
      <c r="C37" s="215"/>
      <c r="D37" s="120"/>
      <c r="E37" s="142"/>
      <c r="F37" s="122"/>
      <c r="G37" s="213"/>
      <c r="H37" s="178"/>
    </row>
    <row r="38" spans="1:8" ht="39.950000000000003" customHeight="1" x14ac:dyDescent="0.25">
      <c r="A38" s="363">
        <f t="shared" si="0"/>
        <v>25</v>
      </c>
      <c r="B38" s="119"/>
      <c r="C38" s="214"/>
      <c r="D38" s="120"/>
      <c r="E38" s="121"/>
      <c r="F38" s="122"/>
      <c r="G38" s="212"/>
      <c r="H38" s="178"/>
    </row>
    <row r="39" spans="1:8" ht="39.950000000000003" customHeight="1" x14ac:dyDescent="0.25">
      <c r="A39" s="363">
        <f t="shared" si="0"/>
        <v>26</v>
      </c>
      <c r="B39" s="119"/>
      <c r="C39" s="215"/>
      <c r="D39" s="120"/>
      <c r="E39" s="142"/>
      <c r="F39" s="122"/>
      <c r="G39" s="213"/>
      <c r="H39" s="178"/>
    </row>
    <row r="40" spans="1:8" ht="39.950000000000003" customHeight="1" x14ac:dyDescent="0.25">
      <c r="A40" s="363">
        <f t="shared" si="0"/>
        <v>27</v>
      </c>
      <c r="B40" s="119"/>
      <c r="C40" s="214"/>
      <c r="D40" s="120"/>
      <c r="E40" s="121"/>
      <c r="F40" s="122"/>
      <c r="G40" s="212"/>
      <c r="H40" s="178"/>
    </row>
    <row r="41" spans="1:8" ht="39.950000000000003" customHeight="1" x14ac:dyDescent="0.25">
      <c r="A41" s="363">
        <f t="shared" si="0"/>
        <v>28</v>
      </c>
      <c r="B41" s="119"/>
      <c r="C41" s="215"/>
      <c r="D41" s="120"/>
      <c r="E41" s="142"/>
      <c r="F41" s="122"/>
      <c r="G41" s="213"/>
      <c r="H41" s="178"/>
    </row>
    <row r="42" spans="1:8" ht="39.950000000000003" customHeight="1" x14ac:dyDescent="0.25">
      <c r="A42" s="363">
        <f t="shared" si="0"/>
        <v>29</v>
      </c>
      <c r="B42" s="119"/>
      <c r="C42" s="214"/>
      <c r="D42" s="120"/>
      <c r="E42" s="121"/>
      <c r="F42" s="122"/>
      <c r="G42" s="212"/>
      <c r="H42" s="178"/>
    </row>
    <row r="43" spans="1:8" ht="39.950000000000003" customHeight="1" x14ac:dyDescent="0.25">
      <c r="A43" s="363">
        <f t="shared" si="0"/>
        <v>30</v>
      </c>
      <c r="B43" s="119"/>
      <c r="C43" s="215"/>
      <c r="D43" s="120"/>
      <c r="E43" s="142"/>
      <c r="F43" s="122"/>
      <c r="G43" s="213"/>
      <c r="H43" s="178"/>
    </row>
    <row r="44" spans="1:8" ht="39.950000000000003" customHeight="1" x14ac:dyDescent="0.25">
      <c r="A44" s="363">
        <f t="shared" si="0"/>
        <v>31</v>
      </c>
      <c r="B44" s="119"/>
      <c r="C44" s="214"/>
      <c r="D44" s="120"/>
      <c r="E44" s="121"/>
      <c r="F44" s="122"/>
      <c r="G44" s="212"/>
      <c r="H44" s="178"/>
    </row>
    <row r="45" spans="1:8" ht="39.950000000000003" customHeight="1" x14ac:dyDescent="0.25">
      <c r="A45" s="363">
        <f t="shared" si="0"/>
        <v>32</v>
      </c>
      <c r="B45" s="119"/>
      <c r="C45" s="215"/>
      <c r="D45" s="120"/>
      <c r="E45" s="142"/>
      <c r="F45" s="122"/>
      <c r="G45" s="213"/>
      <c r="H45" s="178"/>
    </row>
    <row r="46" spans="1:8" ht="39.950000000000003" customHeight="1" x14ac:dyDescent="0.25">
      <c r="A46" s="363">
        <f t="shared" si="0"/>
        <v>33</v>
      </c>
      <c r="B46" s="119"/>
      <c r="C46" s="140"/>
      <c r="D46" s="120"/>
      <c r="E46" s="121"/>
      <c r="F46" s="122"/>
      <c r="G46" s="212"/>
      <c r="H46" s="178"/>
    </row>
    <row r="47" spans="1:8" ht="39.950000000000003" customHeight="1" x14ac:dyDescent="0.25">
      <c r="A47" s="363">
        <f t="shared" si="0"/>
        <v>34</v>
      </c>
      <c r="B47" s="119"/>
      <c r="C47" s="141"/>
      <c r="D47" s="120"/>
      <c r="E47" s="142"/>
      <c r="F47" s="122"/>
      <c r="G47" s="213"/>
      <c r="H47" s="178"/>
    </row>
    <row r="48" spans="1:8" ht="39.950000000000003" customHeight="1" x14ac:dyDescent="0.25">
      <c r="A48" s="363">
        <f t="shared" si="0"/>
        <v>35</v>
      </c>
      <c r="B48" s="119"/>
      <c r="C48" s="140"/>
      <c r="D48" s="120"/>
      <c r="E48" s="121"/>
      <c r="F48" s="122"/>
      <c r="G48" s="212"/>
      <c r="H48" s="178"/>
    </row>
    <row r="49" spans="1:8" ht="39.950000000000003" customHeight="1" x14ac:dyDescent="0.25">
      <c r="A49" s="363">
        <f t="shared" si="0"/>
        <v>36</v>
      </c>
      <c r="B49" s="119"/>
      <c r="C49" s="141"/>
      <c r="D49" s="120"/>
      <c r="E49" s="142"/>
      <c r="F49" s="122"/>
      <c r="G49" s="213"/>
      <c r="H49" s="178"/>
    </row>
    <row r="50" spans="1:8" ht="39.950000000000003" customHeight="1" x14ac:dyDescent="0.25">
      <c r="A50" s="363">
        <f t="shared" si="0"/>
        <v>37</v>
      </c>
      <c r="B50" s="119"/>
      <c r="C50" s="140"/>
      <c r="D50" s="120"/>
      <c r="E50" s="121"/>
      <c r="F50" s="122"/>
      <c r="G50" s="212"/>
      <c r="H50" s="178"/>
    </row>
    <row r="51" spans="1:8" ht="39.950000000000003" customHeight="1" x14ac:dyDescent="0.25">
      <c r="A51" s="363">
        <f t="shared" si="0"/>
        <v>38</v>
      </c>
      <c r="B51" s="119"/>
      <c r="C51" s="141"/>
      <c r="D51" s="120"/>
      <c r="E51" s="142"/>
      <c r="F51" s="122"/>
      <c r="G51" s="213"/>
      <c r="H51" s="178"/>
    </row>
    <row r="52" spans="1:8" ht="39.950000000000003" customHeight="1" x14ac:dyDescent="0.25">
      <c r="A52" s="363">
        <f t="shared" si="0"/>
        <v>39</v>
      </c>
      <c r="B52" s="119"/>
      <c r="C52" s="140"/>
      <c r="D52" s="120"/>
      <c r="E52" s="121"/>
      <c r="F52" s="122"/>
      <c r="G52" s="212"/>
      <c r="H52" s="178"/>
    </row>
    <row r="53" spans="1:8" ht="39.950000000000003" customHeight="1" x14ac:dyDescent="0.25">
      <c r="A53" s="363">
        <f t="shared" si="0"/>
        <v>40</v>
      </c>
      <c r="B53" s="119"/>
      <c r="C53" s="141"/>
      <c r="D53" s="120"/>
      <c r="E53" s="142"/>
      <c r="F53" s="122"/>
      <c r="G53" s="213"/>
      <c r="H53" s="178"/>
    </row>
    <row r="54" spans="1:8" ht="39.950000000000003" customHeight="1" x14ac:dyDescent="0.25">
      <c r="A54" s="363">
        <f t="shared" si="0"/>
        <v>41</v>
      </c>
      <c r="B54" s="119"/>
      <c r="C54" s="140"/>
      <c r="D54" s="120"/>
      <c r="E54" s="121"/>
      <c r="F54" s="122"/>
      <c r="G54" s="212"/>
      <c r="H54" s="178"/>
    </row>
    <row r="55" spans="1:8" ht="39.950000000000003" customHeight="1" x14ac:dyDescent="0.25">
      <c r="A55" s="363">
        <f t="shared" si="0"/>
        <v>42</v>
      </c>
      <c r="B55" s="119"/>
      <c r="C55" s="141"/>
      <c r="D55" s="120"/>
      <c r="E55" s="142"/>
      <c r="F55" s="122"/>
      <c r="G55" s="213"/>
      <c r="H55" s="178"/>
    </row>
    <row r="56" spans="1:8" ht="39.950000000000003" customHeight="1" x14ac:dyDescent="0.25">
      <c r="A56" s="363">
        <f t="shared" si="0"/>
        <v>43</v>
      </c>
      <c r="B56" s="119"/>
      <c r="C56" s="140"/>
      <c r="D56" s="120"/>
      <c r="E56" s="121"/>
      <c r="F56" s="122"/>
      <c r="G56" s="212"/>
      <c r="H56" s="178"/>
    </row>
    <row r="57" spans="1:8" ht="39.950000000000003" customHeight="1" x14ac:dyDescent="0.25">
      <c r="A57" s="363">
        <f t="shared" si="0"/>
        <v>44</v>
      </c>
      <c r="B57" s="119"/>
      <c r="C57" s="141"/>
      <c r="D57" s="120"/>
      <c r="E57" s="142"/>
      <c r="F57" s="122"/>
      <c r="G57" s="213"/>
      <c r="H57" s="178"/>
    </row>
    <row r="58" spans="1:8" ht="39.950000000000003" customHeight="1" x14ac:dyDescent="0.25">
      <c r="A58" s="363">
        <f t="shared" si="0"/>
        <v>45</v>
      </c>
      <c r="B58" s="119"/>
      <c r="C58" s="140"/>
      <c r="D58" s="120"/>
      <c r="E58" s="121"/>
      <c r="F58" s="122"/>
      <c r="G58" s="212"/>
      <c r="H58" s="178"/>
    </row>
    <row r="59" spans="1:8" ht="39.950000000000003" customHeight="1" x14ac:dyDescent="0.25">
      <c r="A59" s="363">
        <f t="shared" si="0"/>
        <v>46</v>
      </c>
      <c r="B59" s="119"/>
      <c r="C59" s="141"/>
      <c r="D59" s="120"/>
      <c r="E59" s="142"/>
      <c r="F59" s="122"/>
      <c r="G59" s="213"/>
      <c r="H59" s="178"/>
    </row>
    <row r="60" spans="1:8" ht="39.950000000000003" customHeight="1" x14ac:dyDescent="0.25">
      <c r="A60" s="363">
        <f t="shared" si="0"/>
        <v>47</v>
      </c>
      <c r="B60" s="119"/>
      <c r="C60" s="140"/>
      <c r="D60" s="120"/>
      <c r="E60" s="121"/>
      <c r="F60" s="122"/>
      <c r="G60" s="212"/>
      <c r="H60" s="178"/>
    </row>
    <row r="61" spans="1:8" ht="39.950000000000003" customHeight="1" x14ac:dyDescent="0.25">
      <c r="A61" s="363">
        <f t="shared" si="0"/>
        <v>48</v>
      </c>
      <c r="B61" s="119"/>
      <c r="C61" s="141"/>
      <c r="D61" s="120"/>
      <c r="E61" s="142"/>
      <c r="F61" s="122"/>
      <c r="G61" s="213"/>
      <c r="H61" s="178"/>
    </row>
    <row r="62" spans="1:8" ht="39.950000000000003" customHeight="1" x14ac:dyDescent="0.25">
      <c r="A62" s="363">
        <f t="shared" si="0"/>
        <v>49</v>
      </c>
      <c r="B62" s="119"/>
      <c r="C62" s="140"/>
      <c r="D62" s="120"/>
      <c r="E62" s="121"/>
      <c r="F62" s="122"/>
      <c r="G62" s="212"/>
      <c r="H62" s="178"/>
    </row>
    <row r="63" spans="1:8" ht="39.950000000000003" customHeight="1" x14ac:dyDescent="0.25">
      <c r="A63" s="363">
        <f t="shared" si="0"/>
        <v>50</v>
      </c>
      <c r="B63" s="119"/>
      <c r="C63" s="141"/>
      <c r="D63" s="120"/>
      <c r="E63" s="142"/>
      <c r="F63" s="122"/>
      <c r="G63" s="213"/>
      <c r="H63" s="178"/>
    </row>
    <row r="64" spans="1:8" ht="39.950000000000003" customHeight="1" x14ac:dyDescent="0.25">
      <c r="A64" s="363">
        <f t="shared" si="0"/>
        <v>51</v>
      </c>
      <c r="B64" s="119"/>
      <c r="C64" s="140"/>
      <c r="D64" s="120"/>
      <c r="E64" s="121"/>
      <c r="F64" s="122"/>
      <c r="G64" s="212"/>
      <c r="H64" s="178"/>
    </row>
    <row r="65" spans="1:8" ht="39.950000000000003" customHeight="1" x14ac:dyDescent="0.25">
      <c r="A65" s="363">
        <f t="shared" si="0"/>
        <v>52</v>
      </c>
      <c r="B65" s="119"/>
      <c r="C65" s="141"/>
      <c r="D65" s="120"/>
      <c r="E65" s="142"/>
      <c r="F65" s="122"/>
      <c r="G65" s="213"/>
      <c r="H65" s="178"/>
    </row>
    <row r="66" spans="1:8" ht="39.950000000000003" customHeight="1" x14ac:dyDescent="0.25">
      <c r="A66" s="363">
        <f t="shared" si="0"/>
        <v>53</v>
      </c>
      <c r="B66" s="119"/>
      <c r="C66" s="140"/>
      <c r="D66" s="120"/>
      <c r="E66" s="121"/>
      <c r="F66" s="122"/>
      <c r="G66" s="212"/>
      <c r="H66" s="178"/>
    </row>
    <row r="67" spans="1:8" ht="39.950000000000003" customHeight="1" x14ac:dyDescent="0.25">
      <c r="A67" s="363">
        <f t="shared" si="0"/>
        <v>54</v>
      </c>
      <c r="B67" s="119"/>
      <c r="C67" s="141"/>
      <c r="D67" s="120"/>
      <c r="E67" s="142"/>
      <c r="F67" s="122"/>
      <c r="G67" s="213"/>
      <c r="H67" s="178"/>
    </row>
    <row r="68" spans="1:8" ht="39.950000000000003" customHeight="1" x14ac:dyDescent="0.25">
      <c r="A68" s="363">
        <f t="shared" si="0"/>
        <v>55</v>
      </c>
      <c r="B68" s="119"/>
      <c r="C68" s="140"/>
      <c r="D68" s="120"/>
      <c r="E68" s="121"/>
      <c r="F68" s="122"/>
      <c r="G68" s="212"/>
      <c r="H68" s="178"/>
    </row>
    <row r="69" spans="1:8" ht="39.950000000000003" customHeight="1" x14ac:dyDescent="0.25">
      <c r="A69" s="363">
        <f t="shared" si="0"/>
        <v>56</v>
      </c>
      <c r="B69" s="119"/>
      <c r="C69" s="141"/>
      <c r="D69" s="120"/>
      <c r="E69" s="142"/>
      <c r="F69" s="122"/>
      <c r="G69" s="213"/>
      <c r="H69" s="178"/>
    </row>
    <row r="70" spans="1:8" ht="39.950000000000003" customHeight="1" x14ac:dyDescent="0.25">
      <c r="A70" s="363">
        <f t="shared" si="0"/>
        <v>57</v>
      </c>
      <c r="B70" s="119"/>
      <c r="C70" s="140"/>
      <c r="D70" s="120"/>
      <c r="E70" s="121"/>
      <c r="F70" s="122"/>
      <c r="G70" s="212"/>
      <c r="H70" s="178"/>
    </row>
    <row r="71" spans="1:8" ht="39.950000000000003" customHeight="1" x14ac:dyDescent="0.25">
      <c r="A71" s="363">
        <f t="shared" si="0"/>
        <v>58</v>
      </c>
      <c r="B71" s="119"/>
      <c r="C71" s="141"/>
      <c r="D71" s="120"/>
      <c r="E71" s="142"/>
      <c r="F71" s="122"/>
      <c r="G71" s="213"/>
      <c r="H71" s="178"/>
    </row>
    <row r="72" spans="1:8" ht="39.950000000000003" customHeight="1" x14ac:dyDescent="0.25">
      <c r="A72" s="363">
        <f t="shared" si="0"/>
        <v>59</v>
      </c>
      <c r="B72" s="119"/>
      <c r="C72" s="140"/>
      <c r="D72" s="120"/>
      <c r="E72" s="121"/>
      <c r="F72" s="122"/>
      <c r="G72" s="212"/>
      <c r="H72" s="178"/>
    </row>
    <row r="73" spans="1:8" ht="39.950000000000003" customHeight="1" x14ac:dyDescent="0.25">
      <c r="A73" s="363">
        <f t="shared" si="0"/>
        <v>60</v>
      </c>
      <c r="B73" s="119"/>
      <c r="C73" s="141"/>
      <c r="D73" s="120"/>
      <c r="E73" s="142"/>
      <c r="F73" s="122"/>
      <c r="G73" s="213"/>
      <c r="H73" s="178"/>
    </row>
    <row r="74" spans="1:8" ht="39.950000000000003" customHeight="1" x14ac:dyDescent="0.25">
      <c r="A74" s="363">
        <f t="shared" si="0"/>
        <v>61</v>
      </c>
      <c r="B74" s="119"/>
      <c r="C74" s="140"/>
      <c r="D74" s="120"/>
      <c r="E74" s="121"/>
      <c r="F74" s="122"/>
      <c r="G74" s="212"/>
      <c r="H74" s="178"/>
    </row>
    <row r="75" spans="1:8" ht="39.950000000000003" customHeight="1" x14ac:dyDescent="0.25">
      <c r="A75" s="363">
        <f t="shared" si="0"/>
        <v>62</v>
      </c>
      <c r="B75" s="119"/>
      <c r="C75" s="141"/>
      <c r="D75" s="120"/>
      <c r="E75" s="142"/>
      <c r="F75" s="122"/>
      <c r="G75" s="213"/>
      <c r="H75" s="178"/>
    </row>
    <row r="76" spans="1:8" ht="39.950000000000003" customHeight="1" x14ac:dyDescent="0.25">
      <c r="A76" s="363">
        <f t="shared" si="0"/>
        <v>63</v>
      </c>
      <c r="B76" s="119"/>
      <c r="C76" s="140"/>
      <c r="D76" s="120"/>
      <c r="E76" s="121"/>
      <c r="F76" s="122"/>
      <c r="G76" s="212"/>
      <c r="H76" s="178"/>
    </row>
    <row r="77" spans="1:8" ht="39.950000000000003" customHeight="1" x14ac:dyDescent="0.25">
      <c r="A77" s="363">
        <f t="shared" si="0"/>
        <v>64</v>
      </c>
      <c r="B77" s="119"/>
      <c r="C77" s="141"/>
      <c r="D77" s="120"/>
      <c r="E77" s="142"/>
      <c r="F77" s="122"/>
      <c r="G77" s="213"/>
      <c r="H77" s="178"/>
    </row>
    <row r="78" spans="1:8" ht="39.950000000000003" customHeight="1" x14ac:dyDescent="0.25">
      <c r="A78" s="363">
        <f t="shared" si="0"/>
        <v>65</v>
      </c>
      <c r="B78" s="119"/>
      <c r="C78" s="140"/>
      <c r="D78" s="120"/>
      <c r="E78" s="121"/>
      <c r="F78" s="122"/>
      <c r="G78" s="212"/>
      <c r="H78" s="178"/>
    </row>
    <row r="79" spans="1:8" ht="39.950000000000003" customHeight="1" x14ac:dyDescent="0.25">
      <c r="A79" s="363">
        <f t="shared" ref="A79:A142" si="1">ROW(A66)</f>
        <v>66</v>
      </c>
      <c r="B79" s="119"/>
      <c r="C79" s="141"/>
      <c r="D79" s="120"/>
      <c r="E79" s="142"/>
      <c r="F79" s="122"/>
      <c r="G79" s="213"/>
      <c r="H79" s="178"/>
    </row>
    <row r="80" spans="1:8" ht="39.950000000000003" customHeight="1" x14ac:dyDescent="0.25">
      <c r="A80" s="363">
        <f t="shared" si="1"/>
        <v>67</v>
      </c>
      <c r="B80" s="119"/>
      <c r="C80" s="140"/>
      <c r="D80" s="120"/>
      <c r="E80" s="121"/>
      <c r="F80" s="122"/>
      <c r="G80" s="212"/>
      <c r="H80" s="178"/>
    </row>
    <row r="81" spans="1:8" ht="39.950000000000003" customHeight="1" x14ac:dyDescent="0.25">
      <c r="A81" s="363">
        <f t="shared" si="1"/>
        <v>68</v>
      </c>
      <c r="B81" s="119"/>
      <c r="C81" s="141"/>
      <c r="D81" s="120"/>
      <c r="E81" s="142"/>
      <c r="F81" s="122"/>
      <c r="G81" s="213"/>
      <c r="H81" s="178"/>
    </row>
    <row r="82" spans="1:8" ht="39.950000000000003" customHeight="1" x14ac:dyDescent="0.25">
      <c r="A82" s="363">
        <f t="shared" si="1"/>
        <v>69</v>
      </c>
      <c r="B82" s="119"/>
      <c r="C82" s="140"/>
      <c r="D82" s="120"/>
      <c r="E82" s="121"/>
      <c r="F82" s="122"/>
      <c r="G82" s="212"/>
      <c r="H82" s="178"/>
    </row>
    <row r="83" spans="1:8" ht="39.950000000000003" customHeight="1" x14ac:dyDescent="0.25">
      <c r="A83" s="363">
        <f t="shared" si="1"/>
        <v>70</v>
      </c>
      <c r="B83" s="119"/>
      <c r="C83" s="141"/>
      <c r="D83" s="120"/>
      <c r="E83" s="142"/>
      <c r="F83" s="122"/>
      <c r="G83" s="213"/>
      <c r="H83" s="178"/>
    </row>
    <row r="84" spans="1:8" ht="39.950000000000003" customHeight="1" x14ac:dyDescent="0.25">
      <c r="A84" s="363">
        <f t="shared" si="1"/>
        <v>71</v>
      </c>
      <c r="B84" s="119"/>
      <c r="C84" s="140"/>
      <c r="D84" s="120"/>
      <c r="E84" s="121"/>
      <c r="F84" s="122"/>
      <c r="G84" s="212"/>
      <c r="H84" s="178"/>
    </row>
    <row r="85" spans="1:8" ht="39.950000000000003" customHeight="1" x14ac:dyDescent="0.25">
      <c r="A85" s="363">
        <f t="shared" si="1"/>
        <v>72</v>
      </c>
      <c r="B85" s="119"/>
      <c r="C85" s="141"/>
      <c r="D85" s="120"/>
      <c r="E85" s="142"/>
      <c r="F85" s="122"/>
      <c r="G85" s="213"/>
      <c r="H85" s="178"/>
    </row>
    <row r="86" spans="1:8" ht="39.950000000000003" customHeight="1" x14ac:dyDescent="0.25">
      <c r="A86" s="363">
        <f t="shared" si="1"/>
        <v>73</v>
      </c>
      <c r="B86" s="119"/>
      <c r="C86" s="140"/>
      <c r="D86" s="120"/>
      <c r="E86" s="121"/>
      <c r="F86" s="122"/>
      <c r="G86" s="212"/>
      <c r="H86" s="178"/>
    </row>
    <row r="87" spans="1:8" ht="39.950000000000003" customHeight="1" x14ac:dyDescent="0.25">
      <c r="A87" s="363">
        <f t="shared" si="1"/>
        <v>74</v>
      </c>
      <c r="B87" s="119"/>
      <c r="C87" s="141"/>
      <c r="D87" s="120"/>
      <c r="E87" s="142"/>
      <c r="F87" s="122"/>
      <c r="G87" s="213"/>
      <c r="H87" s="178"/>
    </row>
    <row r="88" spans="1:8" ht="39.950000000000003" customHeight="1" x14ac:dyDescent="0.25">
      <c r="A88" s="363">
        <f t="shared" si="1"/>
        <v>75</v>
      </c>
      <c r="B88" s="119"/>
      <c r="C88" s="140"/>
      <c r="D88" s="120"/>
      <c r="E88" s="121"/>
      <c r="F88" s="122"/>
      <c r="G88" s="212"/>
      <c r="H88" s="178"/>
    </row>
    <row r="89" spans="1:8" ht="39.950000000000003" customHeight="1" x14ac:dyDescent="0.25">
      <c r="A89" s="363">
        <f t="shared" si="1"/>
        <v>76</v>
      </c>
      <c r="B89" s="119"/>
      <c r="C89" s="141"/>
      <c r="D89" s="120"/>
      <c r="E89" s="142"/>
      <c r="F89" s="122"/>
      <c r="G89" s="213"/>
      <c r="H89" s="178"/>
    </row>
    <row r="90" spans="1:8" ht="39.950000000000003" customHeight="1" x14ac:dyDescent="0.25">
      <c r="A90" s="363">
        <f t="shared" si="1"/>
        <v>77</v>
      </c>
      <c r="B90" s="119"/>
      <c r="C90" s="140"/>
      <c r="D90" s="120"/>
      <c r="E90" s="121"/>
      <c r="F90" s="122"/>
      <c r="G90" s="212"/>
      <c r="H90" s="178"/>
    </row>
    <row r="91" spans="1:8" ht="39.950000000000003" customHeight="1" x14ac:dyDescent="0.25">
      <c r="A91" s="363">
        <f t="shared" si="1"/>
        <v>78</v>
      </c>
      <c r="B91" s="119"/>
      <c r="C91" s="141"/>
      <c r="D91" s="120"/>
      <c r="E91" s="142"/>
      <c r="F91" s="122"/>
      <c r="G91" s="213"/>
      <c r="H91" s="178"/>
    </row>
    <row r="92" spans="1:8" ht="39.950000000000003" customHeight="1" x14ac:dyDescent="0.25">
      <c r="A92" s="363">
        <f t="shared" si="1"/>
        <v>79</v>
      </c>
      <c r="B92" s="119"/>
      <c r="C92" s="140"/>
      <c r="D92" s="120"/>
      <c r="E92" s="121"/>
      <c r="F92" s="122"/>
      <c r="G92" s="212"/>
      <c r="H92" s="178"/>
    </row>
    <row r="93" spans="1:8" ht="39.950000000000003" customHeight="1" x14ac:dyDescent="0.25">
      <c r="A93" s="363">
        <f t="shared" si="1"/>
        <v>80</v>
      </c>
      <c r="B93" s="119"/>
      <c r="C93" s="141"/>
      <c r="D93" s="120"/>
      <c r="E93" s="142"/>
      <c r="F93" s="122"/>
      <c r="G93" s="213"/>
      <c r="H93" s="178"/>
    </row>
    <row r="94" spans="1:8" ht="39.950000000000003" customHeight="1" x14ac:dyDescent="0.25">
      <c r="A94" s="363">
        <f t="shared" si="1"/>
        <v>81</v>
      </c>
      <c r="B94" s="119"/>
      <c r="C94" s="140"/>
      <c r="D94" s="120"/>
      <c r="E94" s="121"/>
      <c r="F94" s="122"/>
      <c r="G94" s="212"/>
      <c r="H94" s="178"/>
    </row>
    <row r="95" spans="1:8" ht="39.950000000000003" customHeight="1" x14ac:dyDescent="0.25">
      <c r="A95" s="363">
        <f t="shared" si="1"/>
        <v>82</v>
      </c>
      <c r="B95" s="119"/>
      <c r="C95" s="141"/>
      <c r="D95" s="120"/>
      <c r="E95" s="142"/>
      <c r="F95" s="122"/>
      <c r="G95" s="213"/>
      <c r="H95" s="178"/>
    </row>
    <row r="96" spans="1:8" ht="39.950000000000003" customHeight="1" x14ac:dyDescent="0.25">
      <c r="A96" s="363">
        <f t="shared" si="1"/>
        <v>83</v>
      </c>
      <c r="B96" s="119"/>
      <c r="C96" s="140"/>
      <c r="D96" s="120"/>
      <c r="E96" s="121"/>
      <c r="F96" s="122"/>
      <c r="G96" s="212"/>
      <c r="H96" s="178"/>
    </row>
    <row r="97" spans="1:8" ht="39.950000000000003" customHeight="1" x14ac:dyDescent="0.25">
      <c r="A97" s="363">
        <f t="shared" si="1"/>
        <v>84</v>
      </c>
      <c r="B97" s="119"/>
      <c r="C97" s="141"/>
      <c r="D97" s="120"/>
      <c r="E97" s="142"/>
      <c r="F97" s="122"/>
      <c r="G97" s="213"/>
      <c r="H97" s="178"/>
    </row>
    <row r="98" spans="1:8" ht="39.950000000000003" customHeight="1" x14ac:dyDescent="0.25">
      <c r="A98" s="363">
        <f t="shared" si="1"/>
        <v>85</v>
      </c>
      <c r="B98" s="119"/>
      <c r="C98" s="140"/>
      <c r="D98" s="120"/>
      <c r="E98" s="121"/>
      <c r="F98" s="122"/>
      <c r="G98" s="212"/>
      <c r="H98" s="178"/>
    </row>
    <row r="99" spans="1:8" ht="39.950000000000003" customHeight="1" x14ac:dyDescent="0.25">
      <c r="A99" s="363">
        <f t="shared" si="1"/>
        <v>86</v>
      </c>
      <c r="B99" s="119"/>
      <c r="C99" s="141"/>
      <c r="D99" s="120"/>
      <c r="E99" s="142"/>
      <c r="F99" s="122"/>
      <c r="G99" s="213"/>
      <c r="H99" s="178"/>
    </row>
    <row r="100" spans="1:8" ht="39.950000000000003" customHeight="1" x14ac:dyDescent="0.25">
      <c r="A100" s="363">
        <f t="shared" si="1"/>
        <v>87</v>
      </c>
      <c r="B100" s="119"/>
      <c r="C100" s="140"/>
      <c r="D100" s="120"/>
      <c r="E100" s="121"/>
      <c r="F100" s="122"/>
      <c r="G100" s="212"/>
      <c r="H100" s="178"/>
    </row>
    <row r="101" spans="1:8" ht="39.950000000000003" customHeight="1" x14ac:dyDescent="0.25">
      <c r="A101" s="363">
        <f t="shared" si="1"/>
        <v>88</v>
      </c>
      <c r="B101" s="119"/>
      <c r="C101" s="141"/>
      <c r="D101" s="120"/>
      <c r="E101" s="142"/>
      <c r="F101" s="122"/>
      <c r="G101" s="213"/>
      <c r="H101" s="178"/>
    </row>
    <row r="102" spans="1:8" ht="39.950000000000003" customHeight="1" x14ac:dyDescent="0.25">
      <c r="A102" s="363">
        <f t="shared" si="1"/>
        <v>89</v>
      </c>
      <c r="B102" s="119"/>
      <c r="C102" s="140"/>
      <c r="D102" s="120"/>
      <c r="E102" s="121"/>
      <c r="F102" s="122"/>
      <c r="G102" s="212"/>
      <c r="H102" s="178"/>
    </row>
    <row r="103" spans="1:8" ht="39.950000000000003" customHeight="1" x14ac:dyDescent="0.25">
      <c r="A103" s="363">
        <f t="shared" si="1"/>
        <v>90</v>
      </c>
      <c r="B103" s="119"/>
      <c r="C103" s="141"/>
      <c r="D103" s="120"/>
      <c r="E103" s="142"/>
      <c r="F103" s="122"/>
      <c r="G103" s="213"/>
      <c r="H103" s="178"/>
    </row>
    <row r="104" spans="1:8" ht="39.950000000000003" customHeight="1" x14ac:dyDescent="0.25">
      <c r="A104" s="363">
        <f t="shared" si="1"/>
        <v>91</v>
      </c>
      <c r="B104" s="119"/>
      <c r="C104" s="140"/>
      <c r="D104" s="120"/>
      <c r="E104" s="121"/>
      <c r="F104" s="122"/>
      <c r="G104" s="212"/>
      <c r="H104" s="178"/>
    </row>
    <row r="105" spans="1:8" ht="39.950000000000003" customHeight="1" x14ac:dyDescent="0.25">
      <c r="A105" s="363">
        <f t="shared" si="1"/>
        <v>92</v>
      </c>
      <c r="B105" s="119"/>
      <c r="C105" s="141"/>
      <c r="D105" s="120"/>
      <c r="E105" s="142"/>
      <c r="F105" s="122"/>
      <c r="G105" s="213"/>
      <c r="H105" s="178"/>
    </row>
    <row r="106" spans="1:8" ht="39.950000000000003" customHeight="1" x14ac:dyDescent="0.25">
      <c r="A106" s="363">
        <f t="shared" si="1"/>
        <v>93</v>
      </c>
      <c r="B106" s="119"/>
      <c r="C106" s="140"/>
      <c r="D106" s="120"/>
      <c r="E106" s="121"/>
      <c r="F106" s="122"/>
      <c r="G106" s="212"/>
      <c r="H106" s="178"/>
    </row>
    <row r="107" spans="1:8" ht="39.950000000000003" customHeight="1" x14ac:dyDescent="0.25">
      <c r="A107" s="363">
        <f t="shared" si="1"/>
        <v>94</v>
      </c>
      <c r="B107" s="119"/>
      <c r="C107" s="141"/>
      <c r="D107" s="120"/>
      <c r="E107" s="142"/>
      <c r="F107" s="122"/>
      <c r="G107" s="213"/>
      <c r="H107" s="178"/>
    </row>
    <row r="108" spans="1:8" ht="39.950000000000003" customHeight="1" x14ac:dyDescent="0.25">
      <c r="A108" s="363">
        <f t="shared" si="1"/>
        <v>95</v>
      </c>
      <c r="B108" s="119"/>
      <c r="C108" s="140"/>
      <c r="D108" s="120"/>
      <c r="E108" s="121"/>
      <c r="F108" s="122"/>
      <c r="G108" s="212"/>
      <c r="H108" s="178"/>
    </row>
    <row r="109" spans="1:8" ht="39.950000000000003" customHeight="1" x14ac:dyDescent="0.25">
      <c r="A109" s="363">
        <f t="shared" si="1"/>
        <v>96</v>
      </c>
      <c r="B109" s="119"/>
      <c r="C109" s="141"/>
      <c r="D109" s="120"/>
      <c r="E109" s="142"/>
      <c r="F109" s="122"/>
      <c r="G109" s="213"/>
      <c r="H109" s="178"/>
    </row>
    <row r="110" spans="1:8" ht="39.950000000000003" customHeight="1" x14ac:dyDescent="0.25">
      <c r="A110" s="363">
        <f t="shared" si="1"/>
        <v>97</v>
      </c>
      <c r="B110" s="119"/>
      <c r="C110" s="140"/>
      <c r="D110" s="120"/>
      <c r="E110" s="121"/>
      <c r="F110" s="122"/>
      <c r="G110" s="212"/>
      <c r="H110" s="178"/>
    </row>
    <row r="111" spans="1:8" ht="39.950000000000003" customHeight="1" x14ac:dyDescent="0.25">
      <c r="A111" s="363">
        <f t="shared" si="1"/>
        <v>98</v>
      </c>
      <c r="B111" s="119"/>
      <c r="C111" s="141"/>
      <c r="D111" s="120"/>
      <c r="E111" s="142"/>
      <c r="F111" s="122"/>
      <c r="G111" s="213"/>
      <c r="H111" s="178"/>
    </row>
    <row r="112" spans="1:8" ht="39.950000000000003" customHeight="1" x14ac:dyDescent="0.25">
      <c r="A112" s="363">
        <f t="shared" si="1"/>
        <v>99</v>
      </c>
      <c r="B112" s="119"/>
      <c r="C112" s="140"/>
      <c r="D112" s="120"/>
      <c r="E112" s="121"/>
      <c r="F112" s="122"/>
      <c r="G112" s="212"/>
      <c r="H112" s="178"/>
    </row>
    <row r="113" spans="1:8" ht="39.950000000000003" customHeight="1" x14ac:dyDescent="0.25">
      <c r="A113" s="363">
        <f t="shared" si="1"/>
        <v>100</v>
      </c>
      <c r="B113" s="119"/>
      <c r="C113" s="141"/>
      <c r="D113" s="120"/>
      <c r="E113" s="142"/>
      <c r="F113" s="122"/>
      <c r="G113" s="213"/>
      <c r="H113" s="178"/>
    </row>
    <row r="114" spans="1:8" ht="39.950000000000003" customHeight="1" x14ac:dyDescent="0.25">
      <c r="A114" s="363">
        <f t="shared" si="1"/>
        <v>101</v>
      </c>
      <c r="B114" s="119"/>
      <c r="C114" s="140"/>
      <c r="D114" s="120"/>
      <c r="E114" s="121"/>
      <c r="F114" s="122"/>
      <c r="G114" s="212"/>
      <c r="H114" s="178"/>
    </row>
    <row r="115" spans="1:8" ht="39.950000000000003" customHeight="1" x14ac:dyDescent="0.25">
      <c r="A115" s="363">
        <f t="shared" si="1"/>
        <v>102</v>
      </c>
      <c r="B115" s="119"/>
      <c r="C115" s="141"/>
      <c r="D115" s="120"/>
      <c r="E115" s="142"/>
      <c r="F115" s="122"/>
      <c r="G115" s="213"/>
      <c r="H115" s="178"/>
    </row>
    <row r="116" spans="1:8" ht="39.950000000000003" customHeight="1" x14ac:dyDescent="0.25">
      <c r="A116" s="363">
        <f t="shared" si="1"/>
        <v>103</v>
      </c>
      <c r="B116" s="119"/>
      <c r="C116" s="140"/>
      <c r="D116" s="120"/>
      <c r="E116" s="121"/>
      <c r="F116" s="122"/>
      <c r="G116" s="212"/>
      <c r="H116" s="178"/>
    </row>
    <row r="117" spans="1:8" ht="39.950000000000003" customHeight="1" x14ac:dyDescent="0.25">
      <c r="A117" s="363">
        <f t="shared" si="1"/>
        <v>104</v>
      </c>
      <c r="B117" s="119"/>
      <c r="C117" s="141"/>
      <c r="D117" s="120"/>
      <c r="E117" s="142"/>
      <c r="F117" s="122"/>
      <c r="G117" s="213"/>
      <c r="H117" s="178"/>
    </row>
    <row r="118" spans="1:8" ht="39.950000000000003" customHeight="1" x14ac:dyDescent="0.25">
      <c r="A118" s="363">
        <f t="shared" si="1"/>
        <v>105</v>
      </c>
      <c r="B118" s="119"/>
      <c r="C118" s="140"/>
      <c r="D118" s="120"/>
      <c r="E118" s="121"/>
      <c r="F118" s="122"/>
      <c r="G118" s="212"/>
      <c r="H118" s="178"/>
    </row>
    <row r="119" spans="1:8" ht="39.950000000000003" customHeight="1" x14ac:dyDescent="0.25">
      <c r="A119" s="363">
        <f t="shared" si="1"/>
        <v>106</v>
      </c>
      <c r="B119" s="119"/>
      <c r="C119" s="141"/>
      <c r="D119" s="120"/>
      <c r="E119" s="142"/>
      <c r="F119" s="122"/>
      <c r="G119" s="213"/>
      <c r="H119" s="178"/>
    </row>
    <row r="120" spans="1:8" ht="39.950000000000003" customHeight="1" x14ac:dyDescent="0.25">
      <c r="A120" s="363">
        <f t="shared" si="1"/>
        <v>107</v>
      </c>
      <c r="B120" s="119"/>
      <c r="C120" s="140"/>
      <c r="D120" s="120"/>
      <c r="E120" s="121"/>
      <c r="F120" s="122"/>
      <c r="G120" s="212"/>
      <c r="H120" s="178"/>
    </row>
    <row r="121" spans="1:8" ht="39.950000000000003" customHeight="1" x14ac:dyDescent="0.25">
      <c r="A121" s="363">
        <f t="shared" si="1"/>
        <v>108</v>
      </c>
      <c r="B121" s="119"/>
      <c r="C121" s="141"/>
      <c r="D121" s="120"/>
      <c r="E121" s="142"/>
      <c r="F121" s="122"/>
      <c r="G121" s="213"/>
      <c r="H121" s="178"/>
    </row>
    <row r="122" spans="1:8" ht="39.950000000000003" customHeight="1" x14ac:dyDescent="0.25">
      <c r="A122" s="363">
        <f t="shared" si="1"/>
        <v>109</v>
      </c>
      <c r="B122" s="119"/>
      <c r="C122" s="140"/>
      <c r="D122" s="120"/>
      <c r="E122" s="121"/>
      <c r="F122" s="122"/>
      <c r="G122" s="212"/>
      <c r="H122" s="178"/>
    </row>
    <row r="123" spans="1:8" ht="39.950000000000003" customHeight="1" x14ac:dyDescent="0.25">
      <c r="A123" s="363">
        <f t="shared" si="1"/>
        <v>110</v>
      </c>
      <c r="B123" s="119"/>
      <c r="C123" s="141"/>
      <c r="D123" s="120"/>
      <c r="E123" s="142"/>
      <c r="F123" s="122"/>
      <c r="G123" s="213"/>
      <c r="H123" s="178"/>
    </row>
    <row r="124" spans="1:8" ht="39.950000000000003" customHeight="1" x14ac:dyDescent="0.25">
      <c r="A124" s="363">
        <f t="shared" si="1"/>
        <v>111</v>
      </c>
      <c r="B124" s="119"/>
      <c r="C124" s="140"/>
      <c r="D124" s="120"/>
      <c r="E124" s="121"/>
      <c r="F124" s="122"/>
      <c r="G124" s="212"/>
      <c r="H124" s="178"/>
    </row>
    <row r="125" spans="1:8" ht="39.950000000000003" customHeight="1" x14ac:dyDescent="0.25">
      <c r="A125" s="363">
        <f t="shared" si="1"/>
        <v>112</v>
      </c>
      <c r="B125" s="119"/>
      <c r="C125" s="141"/>
      <c r="D125" s="120"/>
      <c r="E125" s="142"/>
      <c r="F125" s="122"/>
      <c r="G125" s="213"/>
      <c r="H125" s="178"/>
    </row>
    <row r="126" spans="1:8" ht="39.950000000000003" customHeight="1" x14ac:dyDescent="0.25">
      <c r="A126" s="363">
        <f t="shared" si="1"/>
        <v>113</v>
      </c>
      <c r="B126" s="119"/>
      <c r="C126" s="140"/>
      <c r="D126" s="120"/>
      <c r="E126" s="121"/>
      <c r="F126" s="122"/>
      <c r="G126" s="212"/>
      <c r="H126" s="178"/>
    </row>
    <row r="127" spans="1:8" ht="39.950000000000003" customHeight="1" x14ac:dyDescent="0.25">
      <c r="A127" s="363">
        <f t="shared" si="1"/>
        <v>114</v>
      </c>
      <c r="B127" s="119"/>
      <c r="C127" s="141"/>
      <c r="D127" s="120"/>
      <c r="E127" s="142"/>
      <c r="F127" s="122"/>
      <c r="G127" s="213"/>
      <c r="H127" s="178"/>
    </row>
    <row r="128" spans="1:8" ht="39.950000000000003" customHeight="1" x14ac:dyDescent="0.25">
      <c r="A128" s="363">
        <f t="shared" si="1"/>
        <v>115</v>
      </c>
      <c r="B128" s="119"/>
      <c r="C128" s="140"/>
      <c r="D128" s="120"/>
      <c r="E128" s="121"/>
      <c r="F128" s="122"/>
      <c r="G128" s="212"/>
      <c r="H128" s="178"/>
    </row>
    <row r="129" spans="1:8" ht="39.950000000000003" customHeight="1" x14ac:dyDescent="0.25">
      <c r="A129" s="363">
        <f t="shared" si="1"/>
        <v>116</v>
      </c>
      <c r="B129" s="119"/>
      <c r="C129" s="141"/>
      <c r="D129" s="120"/>
      <c r="E129" s="142"/>
      <c r="F129" s="122"/>
      <c r="G129" s="213"/>
      <c r="H129" s="178"/>
    </row>
    <row r="130" spans="1:8" ht="39.950000000000003" customHeight="1" x14ac:dyDescent="0.25">
      <c r="A130" s="363">
        <f t="shared" si="1"/>
        <v>117</v>
      </c>
      <c r="B130" s="119"/>
      <c r="C130" s="140"/>
      <c r="D130" s="120"/>
      <c r="E130" s="121"/>
      <c r="F130" s="122"/>
      <c r="G130" s="212"/>
      <c r="H130" s="178"/>
    </row>
    <row r="131" spans="1:8" ht="39.950000000000003" customHeight="1" x14ac:dyDescent="0.25">
      <c r="A131" s="363">
        <f t="shared" si="1"/>
        <v>118</v>
      </c>
      <c r="B131" s="119"/>
      <c r="C131" s="141"/>
      <c r="D131" s="120"/>
      <c r="E131" s="142"/>
      <c r="F131" s="122"/>
      <c r="G131" s="213"/>
      <c r="H131" s="178"/>
    </row>
    <row r="132" spans="1:8" ht="39.950000000000003" customHeight="1" x14ac:dyDescent="0.25">
      <c r="A132" s="363">
        <f t="shared" si="1"/>
        <v>119</v>
      </c>
      <c r="B132" s="119"/>
      <c r="C132" s="140"/>
      <c r="D132" s="120"/>
      <c r="E132" s="121"/>
      <c r="F132" s="122"/>
      <c r="G132" s="212"/>
      <c r="H132" s="178"/>
    </row>
    <row r="133" spans="1:8" ht="39.950000000000003" customHeight="1" x14ac:dyDescent="0.25">
      <c r="A133" s="363">
        <f t="shared" si="1"/>
        <v>120</v>
      </c>
      <c r="B133" s="119"/>
      <c r="C133" s="141"/>
      <c r="D133" s="120"/>
      <c r="E133" s="142"/>
      <c r="F133" s="122"/>
      <c r="G133" s="213"/>
      <c r="H133" s="178"/>
    </row>
    <row r="134" spans="1:8" ht="39.950000000000003" customHeight="1" x14ac:dyDescent="0.25">
      <c r="A134" s="363">
        <f t="shared" si="1"/>
        <v>121</v>
      </c>
      <c r="B134" s="119"/>
      <c r="C134" s="140"/>
      <c r="D134" s="120"/>
      <c r="E134" s="121"/>
      <c r="F134" s="122"/>
      <c r="G134" s="212"/>
      <c r="H134" s="178"/>
    </row>
    <row r="135" spans="1:8" ht="39.950000000000003" customHeight="1" x14ac:dyDescent="0.25">
      <c r="A135" s="363">
        <f t="shared" si="1"/>
        <v>122</v>
      </c>
      <c r="B135" s="119"/>
      <c r="C135" s="141"/>
      <c r="D135" s="120"/>
      <c r="E135" s="142"/>
      <c r="F135" s="122"/>
      <c r="G135" s="213"/>
      <c r="H135" s="178"/>
    </row>
    <row r="136" spans="1:8" ht="39.950000000000003" customHeight="1" x14ac:dyDescent="0.25">
      <c r="A136" s="363">
        <f t="shared" si="1"/>
        <v>123</v>
      </c>
      <c r="B136" s="119"/>
      <c r="C136" s="140"/>
      <c r="D136" s="120"/>
      <c r="E136" s="121"/>
      <c r="F136" s="122"/>
      <c r="G136" s="212"/>
      <c r="H136" s="178"/>
    </row>
    <row r="137" spans="1:8" ht="39.950000000000003" customHeight="1" x14ac:dyDescent="0.25">
      <c r="A137" s="363">
        <f t="shared" si="1"/>
        <v>124</v>
      </c>
      <c r="B137" s="119"/>
      <c r="C137" s="141"/>
      <c r="D137" s="120"/>
      <c r="E137" s="142"/>
      <c r="F137" s="122"/>
      <c r="G137" s="213"/>
      <c r="H137" s="178"/>
    </row>
    <row r="138" spans="1:8" ht="39.950000000000003" customHeight="1" x14ac:dyDescent="0.25">
      <c r="A138" s="363">
        <f t="shared" si="1"/>
        <v>125</v>
      </c>
      <c r="B138" s="119"/>
      <c r="C138" s="140"/>
      <c r="D138" s="120"/>
      <c r="E138" s="121"/>
      <c r="F138" s="122"/>
      <c r="G138" s="212"/>
      <c r="H138" s="178"/>
    </row>
    <row r="139" spans="1:8" ht="39.950000000000003" customHeight="1" x14ac:dyDescent="0.25">
      <c r="A139" s="363">
        <f t="shared" si="1"/>
        <v>126</v>
      </c>
      <c r="B139" s="119"/>
      <c r="C139" s="141"/>
      <c r="D139" s="120"/>
      <c r="E139" s="142"/>
      <c r="F139" s="122"/>
      <c r="G139" s="213"/>
      <c r="H139" s="178"/>
    </row>
    <row r="140" spans="1:8" ht="39.950000000000003" customHeight="1" x14ac:dyDescent="0.25">
      <c r="A140" s="363">
        <f t="shared" si="1"/>
        <v>127</v>
      </c>
      <c r="B140" s="119"/>
      <c r="C140" s="140"/>
      <c r="D140" s="120"/>
      <c r="E140" s="121"/>
      <c r="F140" s="122"/>
      <c r="G140" s="212"/>
      <c r="H140" s="178"/>
    </row>
    <row r="141" spans="1:8" ht="39.950000000000003" customHeight="1" x14ac:dyDescent="0.25">
      <c r="A141" s="363">
        <f t="shared" si="1"/>
        <v>128</v>
      </c>
      <c r="B141" s="119"/>
      <c r="C141" s="141"/>
      <c r="D141" s="120"/>
      <c r="E141" s="142"/>
      <c r="F141" s="122"/>
      <c r="G141" s="213"/>
      <c r="H141" s="178"/>
    </row>
    <row r="142" spans="1:8" ht="39.950000000000003" customHeight="1" x14ac:dyDescent="0.25">
      <c r="A142" s="363">
        <f t="shared" si="1"/>
        <v>129</v>
      </c>
      <c r="B142" s="119"/>
      <c r="C142" s="140"/>
      <c r="D142" s="120"/>
      <c r="E142" s="121"/>
      <c r="F142" s="122"/>
      <c r="G142" s="212"/>
      <c r="H142" s="178"/>
    </row>
    <row r="143" spans="1:8" ht="39.950000000000003" customHeight="1" x14ac:dyDescent="0.25">
      <c r="A143" s="363">
        <f t="shared" ref="A143:A206" si="2">ROW(A130)</f>
        <v>130</v>
      </c>
      <c r="B143" s="119"/>
      <c r="C143" s="141"/>
      <c r="D143" s="120"/>
      <c r="E143" s="142"/>
      <c r="F143" s="122"/>
      <c r="G143" s="213"/>
      <c r="H143" s="178"/>
    </row>
    <row r="144" spans="1:8" ht="39.950000000000003" customHeight="1" x14ac:dyDescent="0.25">
      <c r="A144" s="363">
        <f t="shared" si="2"/>
        <v>131</v>
      </c>
      <c r="B144" s="119"/>
      <c r="C144" s="140"/>
      <c r="D144" s="120"/>
      <c r="E144" s="121"/>
      <c r="F144" s="122"/>
      <c r="G144" s="212"/>
      <c r="H144" s="178"/>
    </row>
    <row r="145" spans="1:8" ht="39.950000000000003" customHeight="1" x14ac:dyDescent="0.25">
      <c r="A145" s="363">
        <f t="shared" si="2"/>
        <v>132</v>
      </c>
      <c r="B145" s="119"/>
      <c r="C145" s="141"/>
      <c r="D145" s="120"/>
      <c r="E145" s="142"/>
      <c r="F145" s="122"/>
      <c r="G145" s="213"/>
      <c r="H145" s="178"/>
    </row>
    <row r="146" spans="1:8" ht="39.950000000000003" customHeight="1" x14ac:dyDescent="0.25">
      <c r="A146" s="363">
        <f t="shared" si="2"/>
        <v>133</v>
      </c>
      <c r="B146" s="119"/>
      <c r="C146" s="140"/>
      <c r="D146" s="120"/>
      <c r="E146" s="121"/>
      <c r="F146" s="122"/>
      <c r="G146" s="212"/>
      <c r="H146" s="178"/>
    </row>
    <row r="147" spans="1:8" ht="39.950000000000003" customHeight="1" x14ac:dyDescent="0.25">
      <c r="A147" s="363">
        <f t="shared" si="2"/>
        <v>134</v>
      </c>
      <c r="B147" s="119"/>
      <c r="C147" s="141"/>
      <c r="D147" s="120"/>
      <c r="E147" s="142"/>
      <c r="F147" s="122"/>
      <c r="G147" s="213"/>
      <c r="H147" s="178"/>
    </row>
    <row r="148" spans="1:8" ht="39.950000000000003" customHeight="1" x14ac:dyDescent="0.25">
      <c r="A148" s="363">
        <f t="shared" si="2"/>
        <v>135</v>
      </c>
      <c r="B148" s="119"/>
      <c r="C148" s="140"/>
      <c r="D148" s="120"/>
      <c r="E148" s="121"/>
      <c r="F148" s="122"/>
      <c r="G148" s="212"/>
      <c r="H148" s="178"/>
    </row>
    <row r="149" spans="1:8" ht="39.950000000000003" customHeight="1" x14ac:dyDescent="0.25">
      <c r="A149" s="363">
        <f t="shared" si="2"/>
        <v>136</v>
      </c>
      <c r="B149" s="119"/>
      <c r="C149" s="141"/>
      <c r="D149" s="120"/>
      <c r="E149" s="142"/>
      <c r="F149" s="122"/>
      <c r="G149" s="213"/>
      <c r="H149" s="178"/>
    </row>
    <row r="150" spans="1:8" ht="39.950000000000003" customHeight="1" x14ac:dyDescent="0.25">
      <c r="A150" s="363">
        <f t="shared" si="2"/>
        <v>137</v>
      </c>
      <c r="B150" s="119"/>
      <c r="C150" s="140"/>
      <c r="D150" s="120"/>
      <c r="E150" s="121"/>
      <c r="F150" s="122"/>
      <c r="G150" s="212"/>
      <c r="H150" s="178"/>
    </row>
    <row r="151" spans="1:8" ht="39.950000000000003" customHeight="1" x14ac:dyDescent="0.25">
      <c r="A151" s="363">
        <f t="shared" si="2"/>
        <v>138</v>
      </c>
      <c r="B151" s="119"/>
      <c r="C151" s="141"/>
      <c r="D151" s="120"/>
      <c r="E151" s="142"/>
      <c r="F151" s="122"/>
      <c r="G151" s="213"/>
      <c r="H151" s="178"/>
    </row>
    <row r="152" spans="1:8" ht="39.950000000000003" customHeight="1" x14ac:dyDescent="0.25">
      <c r="A152" s="363">
        <f t="shared" si="2"/>
        <v>139</v>
      </c>
      <c r="B152" s="119"/>
      <c r="C152" s="140"/>
      <c r="D152" s="120"/>
      <c r="E152" s="121"/>
      <c r="F152" s="122"/>
      <c r="G152" s="212"/>
      <c r="H152" s="178"/>
    </row>
    <row r="153" spans="1:8" ht="39.950000000000003" customHeight="1" x14ac:dyDescent="0.25">
      <c r="A153" s="363">
        <f t="shared" si="2"/>
        <v>140</v>
      </c>
      <c r="B153" s="119"/>
      <c r="C153" s="141"/>
      <c r="D153" s="120"/>
      <c r="E153" s="142"/>
      <c r="F153" s="122"/>
      <c r="G153" s="213"/>
      <c r="H153" s="178"/>
    </row>
    <row r="154" spans="1:8" ht="39.950000000000003" customHeight="1" x14ac:dyDescent="0.25">
      <c r="A154" s="363">
        <f t="shared" si="2"/>
        <v>141</v>
      </c>
      <c r="B154" s="119"/>
      <c r="C154" s="140"/>
      <c r="D154" s="120"/>
      <c r="E154" s="121"/>
      <c r="F154" s="122"/>
      <c r="G154" s="212"/>
      <c r="H154" s="178"/>
    </row>
    <row r="155" spans="1:8" ht="39.950000000000003" customHeight="1" x14ac:dyDescent="0.25">
      <c r="A155" s="363">
        <f t="shared" si="2"/>
        <v>142</v>
      </c>
      <c r="B155" s="119"/>
      <c r="C155" s="141"/>
      <c r="D155" s="120"/>
      <c r="E155" s="142"/>
      <c r="F155" s="122"/>
      <c r="G155" s="213"/>
      <c r="H155" s="178"/>
    </row>
    <row r="156" spans="1:8" ht="39.950000000000003" customHeight="1" x14ac:dyDescent="0.25">
      <c r="A156" s="363">
        <f t="shared" si="2"/>
        <v>143</v>
      </c>
      <c r="B156" s="119"/>
      <c r="C156" s="140"/>
      <c r="D156" s="120"/>
      <c r="E156" s="121"/>
      <c r="F156" s="122"/>
      <c r="G156" s="212"/>
      <c r="H156" s="178"/>
    </row>
    <row r="157" spans="1:8" ht="39.950000000000003" customHeight="1" x14ac:dyDescent="0.25">
      <c r="A157" s="363">
        <f t="shared" si="2"/>
        <v>144</v>
      </c>
      <c r="B157" s="119"/>
      <c r="C157" s="141"/>
      <c r="D157" s="120"/>
      <c r="E157" s="142"/>
      <c r="F157" s="122"/>
      <c r="G157" s="213"/>
      <c r="H157" s="178"/>
    </row>
    <row r="158" spans="1:8" ht="39.950000000000003" customHeight="1" x14ac:dyDescent="0.25">
      <c r="A158" s="363">
        <f t="shared" si="2"/>
        <v>145</v>
      </c>
      <c r="B158" s="119"/>
      <c r="C158" s="140"/>
      <c r="D158" s="120"/>
      <c r="E158" s="121"/>
      <c r="F158" s="122"/>
      <c r="G158" s="212"/>
      <c r="H158" s="178"/>
    </row>
    <row r="159" spans="1:8" ht="39.950000000000003" customHeight="1" x14ac:dyDescent="0.25">
      <c r="A159" s="363">
        <f t="shared" si="2"/>
        <v>146</v>
      </c>
      <c r="B159" s="119"/>
      <c r="C159" s="141"/>
      <c r="D159" s="120"/>
      <c r="E159" s="142"/>
      <c r="F159" s="122"/>
      <c r="G159" s="213"/>
      <c r="H159" s="178"/>
    </row>
    <row r="160" spans="1:8" ht="39.950000000000003" customHeight="1" x14ac:dyDescent="0.25">
      <c r="A160" s="363">
        <f t="shared" si="2"/>
        <v>147</v>
      </c>
      <c r="B160" s="119"/>
      <c r="C160" s="140"/>
      <c r="D160" s="120"/>
      <c r="E160" s="121"/>
      <c r="F160" s="122"/>
      <c r="G160" s="212"/>
      <c r="H160" s="178"/>
    </row>
    <row r="161" spans="1:8" ht="39.950000000000003" customHeight="1" x14ac:dyDescent="0.25">
      <c r="A161" s="363">
        <f t="shared" si="2"/>
        <v>148</v>
      </c>
      <c r="B161" s="119"/>
      <c r="C161" s="141"/>
      <c r="D161" s="120"/>
      <c r="E161" s="142"/>
      <c r="F161" s="122"/>
      <c r="G161" s="213"/>
      <c r="H161" s="178"/>
    </row>
    <row r="162" spans="1:8" ht="39.950000000000003" customHeight="1" x14ac:dyDescent="0.25">
      <c r="A162" s="363">
        <f t="shared" si="2"/>
        <v>149</v>
      </c>
      <c r="B162" s="119"/>
      <c r="C162" s="140"/>
      <c r="D162" s="120"/>
      <c r="E162" s="121"/>
      <c r="F162" s="122"/>
      <c r="G162" s="212"/>
      <c r="H162" s="178"/>
    </row>
    <row r="163" spans="1:8" ht="39.950000000000003" customHeight="1" x14ac:dyDescent="0.25">
      <c r="A163" s="363">
        <f t="shared" si="2"/>
        <v>150</v>
      </c>
      <c r="B163" s="119"/>
      <c r="C163" s="141"/>
      <c r="D163" s="120"/>
      <c r="E163" s="142"/>
      <c r="F163" s="122"/>
      <c r="G163" s="213"/>
      <c r="H163" s="178"/>
    </row>
    <row r="164" spans="1:8" ht="39.950000000000003" customHeight="1" x14ac:dyDescent="0.25">
      <c r="A164" s="363">
        <f t="shared" si="2"/>
        <v>151</v>
      </c>
      <c r="B164" s="119"/>
      <c r="C164" s="140"/>
      <c r="D164" s="120"/>
      <c r="E164" s="121"/>
      <c r="F164" s="122"/>
      <c r="G164" s="212"/>
      <c r="H164" s="178"/>
    </row>
    <row r="165" spans="1:8" ht="39.950000000000003" customHeight="1" x14ac:dyDescent="0.25">
      <c r="A165" s="363">
        <f t="shared" si="2"/>
        <v>152</v>
      </c>
      <c r="B165" s="119"/>
      <c r="C165" s="141"/>
      <c r="D165" s="120"/>
      <c r="E165" s="142"/>
      <c r="F165" s="122"/>
      <c r="G165" s="213"/>
      <c r="H165" s="178"/>
    </row>
    <row r="166" spans="1:8" ht="39.950000000000003" customHeight="1" x14ac:dyDescent="0.25">
      <c r="A166" s="363">
        <f t="shared" si="2"/>
        <v>153</v>
      </c>
      <c r="B166" s="119"/>
      <c r="C166" s="140"/>
      <c r="D166" s="120"/>
      <c r="E166" s="121"/>
      <c r="F166" s="122"/>
      <c r="G166" s="212"/>
      <c r="H166" s="178"/>
    </row>
    <row r="167" spans="1:8" ht="39.950000000000003" customHeight="1" x14ac:dyDescent="0.25">
      <c r="A167" s="363">
        <f t="shared" si="2"/>
        <v>154</v>
      </c>
      <c r="B167" s="119"/>
      <c r="C167" s="141"/>
      <c r="D167" s="120"/>
      <c r="E167" s="142"/>
      <c r="F167" s="122"/>
      <c r="G167" s="213"/>
      <c r="H167" s="178"/>
    </row>
    <row r="168" spans="1:8" ht="39.950000000000003" customHeight="1" x14ac:dyDescent="0.25">
      <c r="A168" s="363">
        <f t="shared" si="2"/>
        <v>155</v>
      </c>
      <c r="B168" s="119"/>
      <c r="C168" s="140"/>
      <c r="D168" s="120"/>
      <c r="E168" s="121"/>
      <c r="F168" s="122"/>
      <c r="G168" s="212"/>
      <c r="H168" s="178"/>
    </row>
    <row r="169" spans="1:8" ht="39.950000000000003" customHeight="1" x14ac:dyDescent="0.25">
      <c r="A169" s="363">
        <f t="shared" si="2"/>
        <v>156</v>
      </c>
      <c r="B169" s="119"/>
      <c r="C169" s="141"/>
      <c r="D169" s="120"/>
      <c r="E169" s="142"/>
      <c r="F169" s="122"/>
      <c r="G169" s="213"/>
      <c r="H169" s="178"/>
    </row>
    <row r="170" spans="1:8" ht="39.950000000000003" customHeight="1" x14ac:dyDescent="0.25">
      <c r="A170" s="363">
        <f t="shared" si="2"/>
        <v>157</v>
      </c>
      <c r="B170" s="119"/>
      <c r="C170" s="140"/>
      <c r="D170" s="120"/>
      <c r="E170" s="121"/>
      <c r="F170" s="122"/>
      <c r="G170" s="212"/>
      <c r="H170" s="178"/>
    </row>
    <row r="171" spans="1:8" ht="39.950000000000003" customHeight="1" x14ac:dyDescent="0.25">
      <c r="A171" s="363">
        <f t="shared" si="2"/>
        <v>158</v>
      </c>
      <c r="B171" s="119"/>
      <c r="C171" s="141"/>
      <c r="D171" s="120"/>
      <c r="E171" s="142"/>
      <c r="F171" s="122"/>
      <c r="G171" s="213"/>
      <c r="H171" s="178"/>
    </row>
    <row r="172" spans="1:8" ht="39.950000000000003" customHeight="1" x14ac:dyDescent="0.25">
      <c r="A172" s="363">
        <f t="shared" si="2"/>
        <v>159</v>
      </c>
      <c r="B172" s="119"/>
      <c r="C172" s="140"/>
      <c r="D172" s="120"/>
      <c r="E172" s="121"/>
      <c r="F172" s="122"/>
      <c r="G172" s="212"/>
      <c r="H172" s="178"/>
    </row>
    <row r="173" spans="1:8" ht="39.950000000000003" customHeight="1" x14ac:dyDescent="0.25">
      <c r="A173" s="363">
        <f t="shared" si="2"/>
        <v>160</v>
      </c>
      <c r="B173" s="119"/>
      <c r="C173" s="141"/>
      <c r="D173" s="120"/>
      <c r="E173" s="142"/>
      <c r="F173" s="122"/>
      <c r="G173" s="213"/>
      <c r="H173" s="178"/>
    </row>
    <row r="174" spans="1:8" ht="39.950000000000003" customHeight="1" x14ac:dyDescent="0.25">
      <c r="A174" s="363">
        <f t="shared" si="2"/>
        <v>161</v>
      </c>
      <c r="B174" s="119"/>
      <c r="C174" s="140"/>
      <c r="D174" s="120"/>
      <c r="E174" s="121"/>
      <c r="F174" s="122"/>
      <c r="G174" s="212"/>
      <c r="H174" s="178"/>
    </row>
    <row r="175" spans="1:8" ht="39.950000000000003" customHeight="1" x14ac:dyDescent="0.25">
      <c r="A175" s="363">
        <f t="shared" si="2"/>
        <v>162</v>
      </c>
      <c r="B175" s="119"/>
      <c r="C175" s="141"/>
      <c r="D175" s="120"/>
      <c r="E175" s="142"/>
      <c r="F175" s="122"/>
      <c r="G175" s="213"/>
      <c r="H175" s="178"/>
    </row>
    <row r="176" spans="1:8" ht="39.950000000000003" customHeight="1" x14ac:dyDescent="0.25">
      <c r="A176" s="363">
        <f t="shared" si="2"/>
        <v>163</v>
      </c>
      <c r="B176" s="119"/>
      <c r="C176" s="140"/>
      <c r="D176" s="120"/>
      <c r="E176" s="121"/>
      <c r="F176" s="122"/>
      <c r="G176" s="212"/>
      <c r="H176" s="178"/>
    </row>
    <row r="177" spans="1:8" ht="39.950000000000003" customHeight="1" x14ac:dyDescent="0.25">
      <c r="A177" s="363">
        <f t="shared" si="2"/>
        <v>164</v>
      </c>
      <c r="B177" s="119"/>
      <c r="C177" s="141"/>
      <c r="D177" s="120"/>
      <c r="E177" s="142"/>
      <c r="F177" s="122"/>
      <c r="G177" s="213"/>
      <c r="H177" s="178"/>
    </row>
    <row r="178" spans="1:8" ht="39.950000000000003" customHeight="1" x14ac:dyDescent="0.25">
      <c r="A178" s="363">
        <f t="shared" si="2"/>
        <v>165</v>
      </c>
      <c r="B178" s="119"/>
      <c r="C178" s="140"/>
      <c r="D178" s="120"/>
      <c r="E178" s="121"/>
      <c r="F178" s="122"/>
      <c r="G178" s="212"/>
      <c r="H178" s="178"/>
    </row>
    <row r="179" spans="1:8" ht="39.950000000000003" customHeight="1" x14ac:dyDescent="0.25">
      <c r="A179" s="363">
        <f t="shared" si="2"/>
        <v>166</v>
      </c>
      <c r="B179" s="119"/>
      <c r="C179" s="141"/>
      <c r="D179" s="120"/>
      <c r="E179" s="142"/>
      <c r="F179" s="122"/>
      <c r="G179" s="213"/>
      <c r="H179" s="178"/>
    </row>
    <row r="180" spans="1:8" ht="39.950000000000003" customHeight="1" x14ac:dyDescent="0.25">
      <c r="A180" s="363">
        <f t="shared" si="2"/>
        <v>167</v>
      </c>
      <c r="B180" s="119"/>
      <c r="C180" s="140"/>
      <c r="D180" s="120"/>
      <c r="E180" s="121"/>
      <c r="F180" s="122"/>
      <c r="G180" s="212"/>
      <c r="H180" s="178"/>
    </row>
    <row r="181" spans="1:8" ht="39.950000000000003" customHeight="1" x14ac:dyDescent="0.25">
      <c r="A181" s="363">
        <f t="shared" si="2"/>
        <v>168</v>
      </c>
      <c r="B181" s="119"/>
      <c r="C181" s="141"/>
      <c r="D181" s="120"/>
      <c r="E181" s="142"/>
      <c r="F181" s="122"/>
      <c r="G181" s="213"/>
      <c r="H181" s="178"/>
    </row>
    <row r="182" spans="1:8" ht="39.950000000000003" customHeight="1" x14ac:dyDescent="0.25">
      <c r="A182" s="363">
        <f t="shared" si="2"/>
        <v>169</v>
      </c>
      <c r="B182" s="119"/>
      <c r="C182" s="140"/>
      <c r="D182" s="120"/>
      <c r="E182" s="121"/>
      <c r="F182" s="122"/>
      <c r="G182" s="212"/>
      <c r="H182" s="178"/>
    </row>
    <row r="183" spans="1:8" ht="39.950000000000003" customHeight="1" x14ac:dyDescent="0.25">
      <c r="A183" s="363">
        <f t="shared" si="2"/>
        <v>170</v>
      </c>
      <c r="B183" s="119"/>
      <c r="C183" s="141"/>
      <c r="D183" s="120"/>
      <c r="E183" s="142"/>
      <c r="F183" s="122"/>
      <c r="G183" s="213"/>
      <c r="H183" s="178"/>
    </row>
    <row r="184" spans="1:8" ht="39.950000000000003" customHeight="1" x14ac:dyDescent="0.25">
      <c r="A184" s="363">
        <f t="shared" si="2"/>
        <v>171</v>
      </c>
      <c r="B184" s="119"/>
      <c r="C184" s="140"/>
      <c r="D184" s="120"/>
      <c r="E184" s="121"/>
      <c r="F184" s="122"/>
      <c r="G184" s="212"/>
      <c r="H184" s="178"/>
    </row>
    <row r="185" spans="1:8" ht="39.950000000000003" customHeight="1" x14ac:dyDescent="0.25">
      <c r="A185" s="363">
        <f t="shared" si="2"/>
        <v>172</v>
      </c>
      <c r="B185" s="119"/>
      <c r="C185" s="141"/>
      <c r="D185" s="120"/>
      <c r="E185" s="142"/>
      <c r="F185" s="122"/>
      <c r="G185" s="213"/>
      <c r="H185" s="178"/>
    </row>
    <row r="186" spans="1:8" ht="39.950000000000003" customHeight="1" x14ac:dyDescent="0.25">
      <c r="A186" s="363">
        <f t="shared" si="2"/>
        <v>173</v>
      </c>
      <c r="B186" s="119"/>
      <c r="C186" s="140"/>
      <c r="D186" s="120"/>
      <c r="E186" s="121"/>
      <c r="F186" s="122"/>
      <c r="G186" s="212"/>
      <c r="H186" s="178"/>
    </row>
    <row r="187" spans="1:8" ht="39.950000000000003" customHeight="1" x14ac:dyDescent="0.25">
      <c r="A187" s="363">
        <f t="shared" si="2"/>
        <v>174</v>
      </c>
      <c r="B187" s="119"/>
      <c r="C187" s="141"/>
      <c r="D187" s="120"/>
      <c r="E187" s="142"/>
      <c r="F187" s="122"/>
      <c r="G187" s="213"/>
      <c r="H187" s="178"/>
    </row>
    <row r="188" spans="1:8" ht="39.950000000000003" customHeight="1" x14ac:dyDescent="0.25">
      <c r="A188" s="363">
        <f t="shared" si="2"/>
        <v>175</v>
      </c>
      <c r="B188" s="119"/>
      <c r="C188" s="140"/>
      <c r="D188" s="120"/>
      <c r="E188" s="121"/>
      <c r="F188" s="122"/>
      <c r="G188" s="212"/>
      <c r="H188" s="178"/>
    </row>
    <row r="189" spans="1:8" ht="39.950000000000003" customHeight="1" x14ac:dyDescent="0.25">
      <c r="A189" s="363">
        <f t="shared" si="2"/>
        <v>176</v>
      </c>
      <c r="B189" s="119"/>
      <c r="C189" s="141"/>
      <c r="D189" s="120"/>
      <c r="E189" s="142"/>
      <c r="F189" s="122"/>
      <c r="G189" s="213"/>
      <c r="H189" s="178"/>
    </row>
    <row r="190" spans="1:8" ht="39.950000000000003" customHeight="1" x14ac:dyDescent="0.25">
      <c r="A190" s="363">
        <f t="shared" si="2"/>
        <v>177</v>
      </c>
      <c r="B190" s="119"/>
      <c r="C190" s="140"/>
      <c r="D190" s="120"/>
      <c r="E190" s="121"/>
      <c r="F190" s="122"/>
      <c r="G190" s="212"/>
      <c r="H190" s="178"/>
    </row>
    <row r="191" spans="1:8" ht="39.950000000000003" customHeight="1" x14ac:dyDescent="0.25">
      <c r="A191" s="363">
        <f t="shared" si="2"/>
        <v>178</v>
      </c>
      <c r="B191" s="119"/>
      <c r="C191" s="141"/>
      <c r="D191" s="120"/>
      <c r="E191" s="142"/>
      <c r="F191" s="122"/>
      <c r="G191" s="213"/>
      <c r="H191" s="178"/>
    </row>
    <row r="192" spans="1:8" ht="39.950000000000003" customHeight="1" x14ac:dyDescent="0.25">
      <c r="A192" s="363">
        <f t="shared" si="2"/>
        <v>179</v>
      </c>
      <c r="B192" s="119"/>
      <c r="C192" s="140"/>
      <c r="D192" s="120"/>
      <c r="E192" s="121"/>
      <c r="F192" s="122"/>
      <c r="G192" s="212"/>
      <c r="H192" s="178"/>
    </row>
    <row r="193" spans="1:8" ht="39.950000000000003" customHeight="1" x14ac:dyDescent="0.25">
      <c r="A193" s="363">
        <f t="shared" si="2"/>
        <v>180</v>
      </c>
      <c r="B193" s="119"/>
      <c r="C193" s="141"/>
      <c r="D193" s="120"/>
      <c r="E193" s="142"/>
      <c r="F193" s="122"/>
      <c r="G193" s="213"/>
      <c r="H193" s="178"/>
    </row>
    <row r="194" spans="1:8" ht="39.950000000000003" customHeight="1" x14ac:dyDescent="0.25">
      <c r="A194" s="363">
        <f t="shared" si="2"/>
        <v>181</v>
      </c>
      <c r="B194" s="119"/>
      <c r="C194" s="140"/>
      <c r="D194" s="120"/>
      <c r="E194" s="121"/>
      <c r="F194" s="122"/>
      <c r="G194" s="212"/>
      <c r="H194" s="178"/>
    </row>
    <row r="195" spans="1:8" ht="39.950000000000003" customHeight="1" x14ac:dyDescent="0.25">
      <c r="A195" s="363">
        <f t="shared" si="2"/>
        <v>182</v>
      </c>
      <c r="B195" s="119"/>
      <c r="C195" s="141"/>
      <c r="D195" s="120"/>
      <c r="E195" s="142"/>
      <c r="F195" s="122"/>
      <c r="G195" s="213"/>
      <c r="H195" s="178"/>
    </row>
    <row r="196" spans="1:8" ht="39.950000000000003" customHeight="1" x14ac:dyDescent="0.25">
      <c r="A196" s="363">
        <f t="shared" si="2"/>
        <v>183</v>
      </c>
      <c r="B196" s="119"/>
      <c r="C196" s="140"/>
      <c r="D196" s="120"/>
      <c r="E196" s="121"/>
      <c r="F196" s="122"/>
      <c r="G196" s="212"/>
      <c r="H196" s="178"/>
    </row>
    <row r="197" spans="1:8" ht="39.950000000000003" customHeight="1" x14ac:dyDescent="0.25">
      <c r="A197" s="363">
        <f t="shared" si="2"/>
        <v>184</v>
      </c>
      <c r="B197" s="119"/>
      <c r="C197" s="141"/>
      <c r="D197" s="120"/>
      <c r="E197" s="142"/>
      <c r="F197" s="122"/>
      <c r="G197" s="213"/>
      <c r="H197" s="178"/>
    </row>
    <row r="198" spans="1:8" ht="39.950000000000003" customHeight="1" x14ac:dyDescent="0.25">
      <c r="A198" s="363">
        <f t="shared" si="2"/>
        <v>185</v>
      </c>
      <c r="B198" s="119"/>
      <c r="C198" s="140"/>
      <c r="D198" s="120"/>
      <c r="E198" s="121"/>
      <c r="F198" s="122"/>
      <c r="G198" s="212"/>
      <c r="H198" s="178"/>
    </row>
    <row r="199" spans="1:8" ht="39.950000000000003" customHeight="1" x14ac:dyDescent="0.25">
      <c r="A199" s="363">
        <f t="shared" si="2"/>
        <v>186</v>
      </c>
      <c r="B199" s="119"/>
      <c r="C199" s="141"/>
      <c r="D199" s="120"/>
      <c r="E199" s="142"/>
      <c r="F199" s="122"/>
      <c r="G199" s="213"/>
      <c r="H199" s="178"/>
    </row>
    <row r="200" spans="1:8" ht="39.950000000000003" customHeight="1" x14ac:dyDescent="0.25">
      <c r="A200" s="363">
        <f t="shared" si="2"/>
        <v>187</v>
      </c>
      <c r="B200" s="119"/>
      <c r="C200" s="140"/>
      <c r="D200" s="120"/>
      <c r="E200" s="121"/>
      <c r="F200" s="122"/>
      <c r="G200" s="212"/>
      <c r="H200" s="178"/>
    </row>
    <row r="201" spans="1:8" ht="39.950000000000003" customHeight="1" x14ac:dyDescent="0.25">
      <c r="A201" s="363">
        <f t="shared" si="2"/>
        <v>188</v>
      </c>
      <c r="B201" s="119"/>
      <c r="C201" s="141"/>
      <c r="D201" s="120"/>
      <c r="E201" s="142"/>
      <c r="F201" s="122"/>
      <c r="G201" s="213"/>
      <c r="H201" s="178"/>
    </row>
    <row r="202" spans="1:8" ht="39.950000000000003" customHeight="1" x14ac:dyDescent="0.25">
      <c r="A202" s="363">
        <f t="shared" si="2"/>
        <v>189</v>
      </c>
      <c r="B202" s="119"/>
      <c r="C202" s="140"/>
      <c r="D202" s="120"/>
      <c r="E202" s="121"/>
      <c r="F202" s="122"/>
      <c r="G202" s="212"/>
      <c r="H202" s="178"/>
    </row>
    <row r="203" spans="1:8" ht="39.950000000000003" customHeight="1" x14ac:dyDescent="0.25">
      <c r="A203" s="363">
        <f t="shared" si="2"/>
        <v>190</v>
      </c>
      <c r="B203" s="119"/>
      <c r="C203" s="141"/>
      <c r="D203" s="120"/>
      <c r="E203" s="142"/>
      <c r="F203" s="122"/>
      <c r="G203" s="213"/>
      <c r="H203" s="178"/>
    </row>
    <row r="204" spans="1:8" ht="39.950000000000003" customHeight="1" x14ac:dyDescent="0.25">
      <c r="A204" s="363">
        <f t="shared" si="2"/>
        <v>191</v>
      </c>
      <c r="B204" s="119"/>
      <c r="C204" s="140"/>
      <c r="D204" s="120"/>
      <c r="E204" s="121"/>
      <c r="F204" s="122"/>
      <c r="G204" s="212"/>
      <c r="H204" s="178"/>
    </row>
    <row r="205" spans="1:8" ht="39.950000000000003" customHeight="1" x14ac:dyDescent="0.25">
      <c r="A205" s="363">
        <f t="shared" si="2"/>
        <v>192</v>
      </c>
      <c r="B205" s="119"/>
      <c r="C205" s="141"/>
      <c r="D205" s="120"/>
      <c r="E205" s="142"/>
      <c r="F205" s="122"/>
      <c r="G205" s="213"/>
      <c r="H205" s="178"/>
    </row>
    <row r="206" spans="1:8" ht="39.950000000000003" customHeight="1" x14ac:dyDescent="0.25">
      <c r="A206" s="363">
        <f t="shared" si="2"/>
        <v>193</v>
      </c>
      <c r="B206" s="119"/>
      <c r="C206" s="140"/>
      <c r="D206" s="120"/>
      <c r="E206" s="121"/>
      <c r="F206" s="122"/>
      <c r="G206" s="212"/>
      <c r="H206" s="178"/>
    </row>
    <row r="207" spans="1:8" ht="39.950000000000003" customHeight="1" x14ac:dyDescent="0.25">
      <c r="A207" s="363">
        <f t="shared" ref="A207:A270" si="3">ROW(A194)</f>
        <v>194</v>
      </c>
      <c r="B207" s="119"/>
      <c r="C207" s="141"/>
      <c r="D207" s="120"/>
      <c r="E207" s="142"/>
      <c r="F207" s="122"/>
      <c r="G207" s="213"/>
      <c r="H207" s="178"/>
    </row>
    <row r="208" spans="1:8" ht="39.950000000000003" customHeight="1" x14ac:dyDescent="0.25">
      <c r="A208" s="363">
        <f t="shared" si="3"/>
        <v>195</v>
      </c>
      <c r="B208" s="119"/>
      <c r="C208" s="140"/>
      <c r="D208" s="120"/>
      <c r="E208" s="121"/>
      <c r="F208" s="122"/>
      <c r="G208" s="212"/>
      <c r="H208" s="178"/>
    </row>
    <row r="209" spans="1:8" ht="39.950000000000003" customHeight="1" x14ac:dyDescent="0.25">
      <c r="A209" s="363">
        <f t="shared" si="3"/>
        <v>196</v>
      </c>
      <c r="B209" s="119"/>
      <c r="C209" s="141"/>
      <c r="D209" s="120"/>
      <c r="E209" s="142"/>
      <c r="F209" s="122"/>
      <c r="G209" s="213"/>
      <c r="H209" s="178"/>
    </row>
    <row r="210" spans="1:8" ht="39.950000000000003" customHeight="1" x14ac:dyDescent="0.25">
      <c r="A210" s="363">
        <f t="shared" si="3"/>
        <v>197</v>
      </c>
      <c r="B210" s="119"/>
      <c r="C210" s="140"/>
      <c r="D210" s="120"/>
      <c r="E210" s="121"/>
      <c r="F210" s="122"/>
      <c r="G210" s="212"/>
      <c r="H210" s="178"/>
    </row>
    <row r="211" spans="1:8" ht="39.950000000000003" customHeight="1" x14ac:dyDescent="0.25">
      <c r="A211" s="363">
        <f t="shared" si="3"/>
        <v>198</v>
      </c>
      <c r="B211" s="119"/>
      <c r="C211" s="141"/>
      <c r="D211" s="120"/>
      <c r="E211" s="142"/>
      <c r="F211" s="122"/>
      <c r="G211" s="213"/>
      <c r="H211" s="178"/>
    </row>
    <row r="212" spans="1:8" ht="39.950000000000003" customHeight="1" x14ac:dyDescent="0.25">
      <c r="A212" s="363">
        <f t="shared" si="3"/>
        <v>199</v>
      </c>
      <c r="B212" s="119"/>
      <c r="C212" s="140"/>
      <c r="D212" s="120"/>
      <c r="E212" s="121"/>
      <c r="F212" s="122"/>
      <c r="G212" s="212"/>
      <c r="H212" s="178"/>
    </row>
    <row r="213" spans="1:8" ht="39.950000000000003" customHeight="1" x14ac:dyDescent="0.25">
      <c r="A213" s="363">
        <f t="shared" si="3"/>
        <v>200</v>
      </c>
      <c r="B213" s="119"/>
      <c r="C213" s="141"/>
      <c r="D213" s="120"/>
      <c r="E213" s="142"/>
      <c r="F213" s="122"/>
      <c r="G213" s="213"/>
      <c r="H213" s="178"/>
    </row>
    <row r="214" spans="1:8" ht="39.950000000000003" customHeight="1" x14ac:dyDescent="0.25">
      <c r="A214" s="363">
        <f t="shared" si="3"/>
        <v>201</v>
      </c>
      <c r="B214" s="119"/>
      <c r="C214" s="140"/>
      <c r="D214" s="120"/>
      <c r="E214" s="121"/>
      <c r="F214" s="122"/>
      <c r="G214" s="212"/>
      <c r="H214" s="178"/>
    </row>
    <row r="215" spans="1:8" ht="39.950000000000003" customHeight="1" x14ac:dyDescent="0.25">
      <c r="A215" s="363">
        <f t="shared" si="3"/>
        <v>202</v>
      </c>
      <c r="B215" s="119"/>
      <c r="C215" s="141"/>
      <c r="D215" s="120"/>
      <c r="E215" s="142"/>
      <c r="F215" s="122"/>
      <c r="G215" s="213"/>
      <c r="H215" s="178"/>
    </row>
    <row r="216" spans="1:8" ht="39.950000000000003" customHeight="1" x14ac:dyDescent="0.25">
      <c r="A216" s="363">
        <f t="shared" si="3"/>
        <v>203</v>
      </c>
      <c r="B216" s="119"/>
      <c r="C216" s="140"/>
      <c r="D216" s="120"/>
      <c r="E216" s="121"/>
      <c r="F216" s="122"/>
      <c r="G216" s="212"/>
      <c r="H216" s="178"/>
    </row>
    <row r="217" spans="1:8" ht="39.950000000000003" customHeight="1" x14ac:dyDescent="0.25">
      <c r="A217" s="363">
        <f t="shared" si="3"/>
        <v>204</v>
      </c>
      <c r="B217" s="119"/>
      <c r="C217" s="141"/>
      <c r="D217" s="120"/>
      <c r="E217" s="142"/>
      <c r="F217" s="122"/>
      <c r="G217" s="213"/>
      <c r="H217" s="178"/>
    </row>
    <row r="218" spans="1:8" ht="39.950000000000003" customHeight="1" x14ac:dyDescent="0.25">
      <c r="A218" s="363">
        <f t="shared" si="3"/>
        <v>205</v>
      </c>
      <c r="B218" s="119"/>
      <c r="C218" s="140"/>
      <c r="D218" s="120"/>
      <c r="E218" s="121"/>
      <c r="F218" s="122"/>
      <c r="G218" s="212"/>
      <c r="H218" s="178"/>
    </row>
    <row r="219" spans="1:8" ht="39.950000000000003" customHeight="1" x14ac:dyDescent="0.25">
      <c r="A219" s="363">
        <f t="shared" si="3"/>
        <v>206</v>
      </c>
      <c r="B219" s="119"/>
      <c r="C219" s="141"/>
      <c r="D219" s="120"/>
      <c r="E219" s="142"/>
      <c r="F219" s="122"/>
      <c r="G219" s="213"/>
      <c r="H219" s="178"/>
    </row>
    <row r="220" spans="1:8" ht="39.950000000000003" customHeight="1" x14ac:dyDescent="0.25">
      <c r="A220" s="363">
        <f t="shared" si="3"/>
        <v>207</v>
      </c>
      <c r="B220" s="119"/>
      <c r="C220" s="140"/>
      <c r="D220" s="120"/>
      <c r="E220" s="121"/>
      <c r="F220" s="122"/>
      <c r="G220" s="212"/>
      <c r="H220" s="178"/>
    </row>
    <row r="221" spans="1:8" ht="39.950000000000003" customHeight="1" x14ac:dyDescent="0.25">
      <c r="A221" s="363">
        <f t="shared" si="3"/>
        <v>208</v>
      </c>
      <c r="B221" s="119"/>
      <c r="C221" s="141"/>
      <c r="D221" s="120"/>
      <c r="E221" s="142"/>
      <c r="F221" s="122"/>
      <c r="G221" s="213"/>
      <c r="H221" s="178"/>
    </row>
    <row r="222" spans="1:8" ht="39.950000000000003" customHeight="1" x14ac:dyDescent="0.25">
      <c r="A222" s="363">
        <f t="shared" si="3"/>
        <v>209</v>
      </c>
      <c r="B222" s="119"/>
      <c r="C222" s="140"/>
      <c r="D222" s="120"/>
      <c r="E222" s="121"/>
      <c r="F222" s="122"/>
      <c r="G222" s="212"/>
      <c r="H222" s="178"/>
    </row>
    <row r="223" spans="1:8" ht="39.950000000000003" customHeight="1" x14ac:dyDescent="0.25">
      <c r="A223" s="363">
        <f t="shared" si="3"/>
        <v>210</v>
      </c>
      <c r="B223" s="119"/>
      <c r="C223" s="141"/>
      <c r="D223" s="120"/>
      <c r="E223" s="142"/>
      <c r="F223" s="122"/>
      <c r="G223" s="213"/>
      <c r="H223" s="178"/>
    </row>
    <row r="224" spans="1:8" ht="39.950000000000003" customHeight="1" x14ac:dyDescent="0.25">
      <c r="A224" s="363">
        <f t="shared" si="3"/>
        <v>211</v>
      </c>
      <c r="B224" s="119"/>
      <c r="C224" s="140"/>
      <c r="D224" s="120"/>
      <c r="E224" s="121"/>
      <c r="F224" s="122"/>
      <c r="G224" s="212"/>
      <c r="H224" s="178"/>
    </row>
    <row r="225" spans="1:8" ht="39.950000000000003" customHeight="1" x14ac:dyDescent="0.25">
      <c r="A225" s="363">
        <f t="shared" si="3"/>
        <v>212</v>
      </c>
      <c r="B225" s="119"/>
      <c r="C225" s="141"/>
      <c r="D225" s="120"/>
      <c r="E225" s="142"/>
      <c r="F225" s="122"/>
      <c r="G225" s="213"/>
      <c r="H225" s="178"/>
    </row>
    <row r="226" spans="1:8" ht="39.950000000000003" customHeight="1" x14ac:dyDescent="0.25">
      <c r="A226" s="363">
        <f t="shared" si="3"/>
        <v>213</v>
      </c>
      <c r="B226" s="119"/>
      <c r="C226" s="140"/>
      <c r="D226" s="120"/>
      <c r="E226" s="121"/>
      <c r="F226" s="122"/>
      <c r="G226" s="212"/>
      <c r="H226" s="178"/>
    </row>
    <row r="227" spans="1:8" ht="39.950000000000003" customHeight="1" x14ac:dyDescent="0.25">
      <c r="A227" s="363">
        <f t="shared" si="3"/>
        <v>214</v>
      </c>
      <c r="B227" s="119"/>
      <c r="C227" s="141"/>
      <c r="D227" s="120"/>
      <c r="E227" s="142"/>
      <c r="F227" s="122"/>
      <c r="G227" s="213"/>
      <c r="H227" s="178"/>
    </row>
    <row r="228" spans="1:8" ht="39.950000000000003" customHeight="1" x14ac:dyDescent="0.25">
      <c r="A228" s="363">
        <f t="shared" si="3"/>
        <v>215</v>
      </c>
      <c r="B228" s="119"/>
      <c r="C228" s="140"/>
      <c r="D228" s="120"/>
      <c r="E228" s="121"/>
      <c r="F228" s="122"/>
      <c r="G228" s="212"/>
      <c r="H228" s="178"/>
    </row>
    <row r="229" spans="1:8" ht="39.950000000000003" customHeight="1" x14ac:dyDescent="0.25">
      <c r="A229" s="363">
        <f t="shared" si="3"/>
        <v>216</v>
      </c>
      <c r="B229" s="119"/>
      <c r="C229" s="141"/>
      <c r="D229" s="120"/>
      <c r="E229" s="142"/>
      <c r="F229" s="122"/>
      <c r="G229" s="213"/>
      <c r="H229" s="178"/>
    </row>
    <row r="230" spans="1:8" ht="39.950000000000003" customHeight="1" x14ac:dyDescent="0.25">
      <c r="A230" s="363">
        <f t="shared" si="3"/>
        <v>217</v>
      </c>
      <c r="B230" s="119"/>
      <c r="C230" s="140"/>
      <c r="D230" s="120"/>
      <c r="E230" s="121"/>
      <c r="F230" s="122"/>
      <c r="G230" s="212"/>
      <c r="H230" s="178"/>
    </row>
    <row r="231" spans="1:8" ht="39.950000000000003" customHeight="1" x14ac:dyDescent="0.25">
      <c r="A231" s="363">
        <f t="shared" si="3"/>
        <v>218</v>
      </c>
      <c r="B231" s="119"/>
      <c r="C231" s="141"/>
      <c r="D231" s="120"/>
      <c r="E231" s="142"/>
      <c r="F231" s="122"/>
      <c r="G231" s="213"/>
      <c r="H231" s="178"/>
    </row>
    <row r="232" spans="1:8" ht="39.950000000000003" customHeight="1" x14ac:dyDescent="0.25">
      <c r="A232" s="363">
        <f t="shared" si="3"/>
        <v>219</v>
      </c>
      <c r="B232" s="119"/>
      <c r="C232" s="140"/>
      <c r="D232" s="120"/>
      <c r="E232" s="121"/>
      <c r="F232" s="122"/>
      <c r="G232" s="212"/>
      <c r="H232" s="178"/>
    </row>
    <row r="233" spans="1:8" ht="39.950000000000003" customHeight="1" x14ac:dyDescent="0.25">
      <c r="A233" s="363">
        <f t="shared" si="3"/>
        <v>220</v>
      </c>
      <c r="B233" s="119"/>
      <c r="C233" s="141"/>
      <c r="D233" s="120"/>
      <c r="E233" s="142"/>
      <c r="F233" s="122"/>
      <c r="G233" s="213"/>
      <c r="H233" s="178"/>
    </row>
    <row r="234" spans="1:8" ht="39.950000000000003" customHeight="1" x14ac:dyDescent="0.25">
      <c r="A234" s="363">
        <f t="shared" si="3"/>
        <v>221</v>
      </c>
      <c r="B234" s="119"/>
      <c r="C234" s="140"/>
      <c r="D234" s="120"/>
      <c r="E234" s="121"/>
      <c r="F234" s="122"/>
      <c r="G234" s="212"/>
      <c r="H234" s="178"/>
    </row>
    <row r="235" spans="1:8" ht="39.950000000000003" customHeight="1" x14ac:dyDescent="0.25">
      <c r="A235" s="363">
        <f t="shared" si="3"/>
        <v>222</v>
      </c>
      <c r="B235" s="119"/>
      <c r="C235" s="141"/>
      <c r="D235" s="120"/>
      <c r="E235" s="142"/>
      <c r="F235" s="122"/>
      <c r="G235" s="213"/>
      <c r="H235" s="178"/>
    </row>
    <row r="236" spans="1:8" ht="39.950000000000003" customHeight="1" x14ac:dyDescent="0.25">
      <c r="A236" s="363">
        <f t="shared" si="3"/>
        <v>223</v>
      </c>
      <c r="B236" s="119"/>
      <c r="C236" s="140"/>
      <c r="D236" s="120"/>
      <c r="E236" s="121"/>
      <c r="F236" s="122"/>
      <c r="G236" s="212"/>
      <c r="H236" s="178"/>
    </row>
    <row r="237" spans="1:8" ht="39.950000000000003" customHeight="1" x14ac:dyDescent="0.25">
      <c r="A237" s="363">
        <f t="shared" si="3"/>
        <v>224</v>
      </c>
      <c r="B237" s="119"/>
      <c r="C237" s="141"/>
      <c r="D237" s="120"/>
      <c r="E237" s="142"/>
      <c r="F237" s="122"/>
      <c r="G237" s="213"/>
      <c r="H237" s="178"/>
    </row>
    <row r="238" spans="1:8" ht="39.950000000000003" customHeight="1" x14ac:dyDescent="0.25">
      <c r="A238" s="363">
        <f t="shared" si="3"/>
        <v>225</v>
      </c>
      <c r="B238" s="119"/>
      <c r="C238" s="140"/>
      <c r="D238" s="120"/>
      <c r="E238" s="121"/>
      <c r="F238" s="122"/>
      <c r="G238" s="212"/>
      <c r="H238" s="178"/>
    </row>
    <row r="239" spans="1:8" ht="39.950000000000003" customHeight="1" x14ac:dyDescent="0.25">
      <c r="A239" s="363">
        <f t="shared" si="3"/>
        <v>226</v>
      </c>
      <c r="B239" s="119"/>
      <c r="C239" s="141"/>
      <c r="D239" s="120"/>
      <c r="E239" s="142"/>
      <c r="F239" s="122"/>
      <c r="G239" s="213"/>
      <c r="H239" s="178"/>
    </row>
    <row r="240" spans="1:8" ht="39.950000000000003" customHeight="1" x14ac:dyDescent="0.25">
      <c r="A240" s="363">
        <f t="shared" si="3"/>
        <v>227</v>
      </c>
      <c r="B240" s="119"/>
      <c r="C240" s="140"/>
      <c r="D240" s="120"/>
      <c r="E240" s="121"/>
      <c r="F240" s="122"/>
      <c r="G240" s="212"/>
      <c r="H240" s="178"/>
    </row>
    <row r="241" spans="1:8" ht="39.950000000000003" customHeight="1" x14ac:dyDescent="0.25">
      <c r="A241" s="363">
        <f t="shared" si="3"/>
        <v>228</v>
      </c>
      <c r="B241" s="119"/>
      <c r="C241" s="141"/>
      <c r="D241" s="120"/>
      <c r="E241" s="142"/>
      <c r="F241" s="122"/>
      <c r="G241" s="213"/>
      <c r="H241" s="178"/>
    </row>
    <row r="242" spans="1:8" ht="39.950000000000003" customHeight="1" x14ac:dyDescent="0.25">
      <c r="A242" s="363">
        <f t="shared" si="3"/>
        <v>229</v>
      </c>
      <c r="B242" s="119"/>
      <c r="C242" s="140"/>
      <c r="D242" s="120"/>
      <c r="E242" s="121"/>
      <c r="F242" s="122"/>
      <c r="G242" s="212"/>
      <c r="H242" s="178"/>
    </row>
    <row r="243" spans="1:8" ht="39.950000000000003" customHeight="1" x14ac:dyDescent="0.25">
      <c r="A243" s="363">
        <f t="shared" si="3"/>
        <v>230</v>
      </c>
      <c r="B243" s="119"/>
      <c r="C243" s="141"/>
      <c r="D243" s="120"/>
      <c r="E243" s="142"/>
      <c r="F243" s="122"/>
      <c r="G243" s="213"/>
      <c r="H243" s="178"/>
    </row>
    <row r="244" spans="1:8" ht="39.950000000000003" customHeight="1" x14ac:dyDescent="0.25">
      <c r="A244" s="363">
        <f t="shared" si="3"/>
        <v>231</v>
      </c>
      <c r="B244" s="119"/>
      <c r="C244" s="140"/>
      <c r="D244" s="120"/>
      <c r="E244" s="121"/>
      <c r="F244" s="122"/>
      <c r="G244" s="212"/>
      <c r="H244" s="178"/>
    </row>
    <row r="245" spans="1:8" ht="39.950000000000003" customHeight="1" x14ac:dyDescent="0.25">
      <c r="A245" s="363">
        <f t="shared" si="3"/>
        <v>232</v>
      </c>
      <c r="B245" s="119"/>
      <c r="C245" s="141"/>
      <c r="D245" s="120"/>
      <c r="E245" s="142"/>
      <c r="F245" s="122"/>
      <c r="G245" s="213"/>
      <c r="H245" s="178"/>
    </row>
    <row r="246" spans="1:8" ht="39.950000000000003" customHeight="1" x14ac:dyDescent="0.25">
      <c r="A246" s="363">
        <f t="shared" si="3"/>
        <v>233</v>
      </c>
      <c r="B246" s="119"/>
      <c r="C246" s="140"/>
      <c r="D246" s="120"/>
      <c r="E246" s="121"/>
      <c r="F246" s="122"/>
      <c r="G246" s="212"/>
      <c r="H246" s="178"/>
    </row>
    <row r="247" spans="1:8" ht="39.950000000000003" customHeight="1" x14ac:dyDescent="0.25">
      <c r="A247" s="363">
        <f t="shared" si="3"/>
        <v>234</v>
      </c>
      <c r="B247" s="119"/>
      <c r="C247" s="141"/>
      <c r="D247" s="120"/>
      <c r="E247" s="142"/>
      <c r="F247" s="122"/>
      <c r="G247" s="213"/>
      <c r="H247" s="178"/>
    </row>
    <row r="248" spans="1:8" ht="39.950000000000003" customHeight="1" x14ac:dyDescent="0.25">
      <c r="A248" s="363">
        <f t="shared" si="3"/>
        <v>235</v>
      </c>
      <c r="B248" s="119"/>
      <c r="C248" s="140"/>
      <c r="D248" s="120"/>
      <c r="E248" s="121"/>
      <c r="F248" s="122"/>
      <c r="G248" s="212"/>
      <c r="H248" s="178"/>
    </row>
    <row r="249" spans="1:8" ht="39.950000000000003" customHeight="1" x14ac:dyDescent="0.25">
      <c r="A249" s="363">
        <f t="shared" si="3"/>
        <v>236</v>
      </c>
      <c r="B249" s="119"/>
      <c r="C249" s="141"/>
      <c r="D249" s="120"/>
      <c r="E249" s="142"/>
      <c r="F249" s="122"/>
      <c r="G249" s="213"/>
      <c r="H249" s="178"/>
    </row>
    <row r="250" spans="1:8" ht="39.950000000000003" customHeight="1" x14ac:dyDescent="0.25">
      <c r="A250" s="363">
        <f t="shared" si="3"/>
        <v>237</v>
      </c>
      <c r="B250" s="119"/>
      <c r="C250" s="140"/>
      <c r="D250" s="120"/>
      <c r="E250" s="121"/>
      <c r="F250" s="122"/>
      <c r="G250" s="212"/>
      <c r="H250" s="178"/>
    </row>
    <row r="251" spans="1:8" ht="39.950000000000003" customHeight="1" x14ac:dyDescent="0.25">
      <c r="A251" s="363">
        <f t="shared" si="3"/>
        <v>238</v>
      </c>
      <c r="B251" s="119"/>
      <c r="C251" s="141"/>
      <c r="D251" s="120"/>
      <c r="E251" s="142"/>
      <c r="F251" s="122"/>
      <c r="G251" s="213"/>
      <c r="H251" s="178"/>
    </row>
    <row r="252" spans="1:8" ht="39.950000000000003" customHeight="1" x14ac:dyDescent="0.25">
      <c r="A252" s="363">
        <f t="shared" si="3"/>
        <v>239</v>
      </c>
      <c r="B252" s="119"/>
      <c r="C252" s="140"/>
      <c r="D252" s="120"/>
      <c r="E252" s="121"/>
      <c r="F252" s="122"/>
      <c r="G252" s="212"/>
      <c r="H252" s="178"/>
    </row>
    <row r="253" spans="1:8" ht="39.950000000000003" customHeight="1" x14ac:dyDescent="0.25">
      <c r="A253" s="363">
        <f t="shared" si="3"/>
        <v>240</v>
      </c>
      <c r="B253" s="119"/>
      <c r="C253" s="141"/>
      <c r="D253" s="120"/>
      <c r="E253" s="142"/>
      <c r="F253" s="122"/>
      <c r="G253" s="213"/>
      <c r="H253" s="178"/>
    </row>
    <row r="254" spans="1:8" ht="39.950000000000003" customHeight="1" x14ac:dyDescent="0.25">
      <c r="A254" s="363">
        <f t="shared" si="3"/>
        <v>241</v>
      </c>
      <c r="B254" s="119"/>
      <c r="C254" s="140"/>
      <c r="D254" s="120"/>
      <c r="E254" s="121"/>
      <c r="F254" s="122"/>
      <c r="G254" s="212"/>
      <c r="H254" s="178"/>
    </row>
    <row r="255" spans="1:8" ht="39.950000000000003" customHeight="1" x14ac:dyDescent="0.25">
      <c r="A255" s="363">
        <f t="shared" si="3"/>
        <v>242</v>
      </c>
      <c r="B255" s="119"/>
      <c r="C255" s="141"/>
      <c r="D255" s="120"/>
      <c r="E255" s="142"/>
      <c r="F255" s="122"/>
      <c r="G255" s="213"/>
      <c r="H255" s="178"/>
    </row>
    <row r="256" spans="1:8" ht="39.950000000000003" customHeight="1" x14ac:dyDescent="0.25">
      <c r="A256" s="363">
        <f t="shared" si="3"/>
        <v>243</v>
      </c>
      <c r="B256" s="119"/>
      <c r="C256" s="140"/>
      <c r="D256" s="120"/>
      <c r="E256" s="121"/>
      <c r="F256" s="122"/>
      <c r="G256" s="212"/>
      <c r="H256" s="178"/>
    </row>
    <row r="257" spans="1:8" ht="39.950000000000003" customHeight="1" x14ac:dyDescent="0.25">
      <c r="A257" s="363">
        <f t="shared" si="3"/>
        <v>244</v>
      </c>
      <c r="B257" s="119"/>
      <c r="C257" s="141"/>
      <c r="D257" s="120"/>
      <c r="E257" s="142"/>
      <c r="F257" s="122"/>
      <c r="G257" s="213"/>
      <c r="H257" s="178"/>
    </row>
    <row r="258" spans="1:8" ht="39.950000000000003" customHeight="1" x14ac:dyDescent="0.25">
      <c r="A258" s="363">
        <f t="shared" si="3"/>
        <v>245</v>
      </c>
      <c r="B258" s="119"/>
      <c r="C258" s="140"/>
      <c r="D258" s="120"/>
      <c r="E258" s="121"/>
      <c r="F258" s="122"/>
      <c r="G258" s="212"/>
      <c r="H258" s="178"/>
    </row>
    <row r="259" spans="1:8" ht="39.950000000000003" customHeight="1" x14ac:dyDescent="0.25">
      <c r="A259" s="363">
        <f t="shared" si="3"/>
        <v>246</v>
      </c>
      <c r="B259" s="119"/>
      <c r="C259" s="141"/>
      <c r="D259" s="120"/>
      <c r="E259" s="142"/>
      <c r="F259" s="122"/>
      <c r="G259" s="213"/>
      <c r="H259" s="178"/>
    </row>
    <row r="260" spans="1:8" ht="39.950000000000003" customHeight="1" x14ac:dyDescent="0.25">
      <c r="A260" s="363">
        <f t="shared" si="3"/>
        <v>247</v>
      </c>
      <c r="B260" s="119"/>
      <c r="C260" s="140"/>
      <c r="D260" s="120"/>
      <c r="E260" s="121"/>
      <c r="F260" s="122"/>
      <c r="G260" s="212"/>
      <c r="H260" s="178"/>
    </row>
    <row r="261" spans="1:8" ht="39.950000000000003" customHeight="1" x14ac:dyDescent="0.25">
      <c r="A261" s="363">
        <f t="shared" si="3"/>
        <v>248</v>
      </c>
      <c r="B261" s="119"/>
      <c r="C261" s="141"/>
      <c r="D261" s="120"/>
      <c r="E261" s="142"/>
      <c r="F261" s="122"/>
      <c r="G261" s="213"/>
      <c r="H261" s="178"/>
    </row>
    <row r="262" spans="1:8" ht="39.950000000000003" customHeight="1" x14ac:dyDescent="0.25">
      <c r="A262" s="363">
        <f t="shared" si="3"/>
        <v>249</v>
      </c>
      <c r="B262" s="119"/>
      <c r="C262" s="140"/>
      <c r="D262" s="120"/>
      <c r="E262" s="121"/>
      <c r="F262" s="122"/>
      <c r="G262" s="212"/>
      <c r="H262" s="178"/>
    </row>
    <row r="263" spans="1:8" ht="39.950000000000003" customHeight="1" x14ac:dyDescent="0.25">
      <c r="A263" s="363">
        <f t="shared" si="3"/>
        <v>250</v>
      </c>
      <c r="B263" s="119"/>
      <c r="C263" s="141"/>
      <c r="D263" s="120"/>
      <c r="E263" s="142"/>
      <c r="F263" s="122"/>
      <c r="G263" s="213"/>
      <c r="H263" s="178"/>
    </row>
    <row r="264" spans="1:8" ht="39.950000000000003" customHeight="1" x14ac:dyDescent="0.25">
      <c r="A264" s="363">
        <f t="shared" si="3"/>
        <v>251</v>
      </c>
      <c r="B264" s="119"/>
      <c r="C264" s="140"/>
      <c r="D264" s="120"/>
      <c r="E264" s="121"/>
      <c r="F264" s="122"/>
      <c r="G264" s="212"/>
      <c r="H264" s="178"/>
    </row>
    <row r="265" spans="1:8" ht="39.950000000000003" customHeight="1" x14ac:dyDescent="0.25">
      <c r="A265" s="363">
        <f t="shared" si="3"/>
        <v>252</v>
      </c>
      <c r="B265" s="119"/>
      <c r="C265" s="141"/>
      <c r="D265" s="120"/>
      <c r="E265" s="142"/>
      <c r="F265" s="122"/>
      <c r="G265" s="213"/>
      <c r="H265" s="178"/>
    </row>
    <row r="266" spans="1:8" ht="39.950000000000003" customHeight="1" x14ac:dyDescent="0.25">
      <c r="A266" s="363">
        <f t="shared" si="3"/>
        <v>253</v>
      </c>
      <c r="B266" s="119"/>
      <c r="C266" s="140"/>
      <c r="D266" s="120"/>
      <c r="E266" s="121"/>
      <c r="F266" s="122"/>
      <c r="G266" s="212"/>
      <c r="H266" s="178"/>
    </row>
    <row r="267" spans="1:8" ht="39.950000000000003" customHeight="1" x14ac:dyDescent="0.25">
      <c r="A267" s="363">
        <f t="shared" si="3"/>
        <v>254</v>
      </c>
      <c r="B267" s="119"/>
      <c r="C267" s="141"/>
      <c r="D267" s="120"/>
      <c r="E267" s="142"/>
      <c r="F267" s="122"/>
      <c r="G267" s="213"/>
      <c r="H267" s="178"/>
    </row>
    <row r="268" spans="1:8" ht="39.950000000000003" customHeight="1" x14ac:dyDescent="0.25">
      <c r="A268" s="363">
        <f t="shared" si="3"/>
        <v>255</v>
      </c>
      <c r="B268" s="119"/>
      <c r="C268" s="140"/>
      <c r="D268" s="120"/>
      <c r="E268" s="121"/>
      <c r="F268" s="122"/>
      <c r="G268" s="212"/>
      <c r="H268" s="178"/>
    </row>
    <row r="269" spans="1:8" ht="39.950000000000003" customHeight="1" x14ac:dyDescent="0.25">
      <c r="A269" s="363">
        <f t="shared" si="3"/>
        <v>256</v>
      </c>
      <c r="B269" s="119"/>
      <c r="C269" s="141"/>
      <c r="D269" s="120"/>
      <c r="E269" s="142"/>
      <c r="F269" s="122"/>
      <c r="G269" s="213"/>
      <c r="H269" s="178"/>
    </row>
    <row r="270" spans="1:8" ht="39.950000000000003" customHeight="1" x14ac:dyDescent="0.25">
      <c r="A270" s="363">
        <f t="shared" si="3"/>
        <v>257</v>
      </c>
      <c r="B270" s="119"/>
      <c r="C270" s="140"/>
      <c r="D270" s="120"/>
      <c r="E270" s="121"/>
      <c r="F270" s="122"/>
      <c r="G270" s="212"/>
      <c r="H270" s="178"/>
    </row>
    <row r="271" spans="1:8" ht="39.950000000000003" customHeight="1" x14ac:dyDescent="0.25">
      <c r="A271" s="363">
        <f t="shared" ref="A271:A334" si="4">ROW(A258)</f>
        <v>258</v>
      </c>
      <c r="B271" s="119"/>
      <c r="C271" s="141"/>
      <c r="D271" s="120"/>
      <c r="E271" s="142"/>
      <c r="F271" s="122"/>
      <c r="G271" s="213"/>
      <c r="H271" s="178"/>
    </row>
    <row r="272" spans="1:8" ht="39.950000000000003" customHeight="1" x14ac:dyDescent="0.25">
      <c r="A272" s="363">
        <f t="shared" si="4"/>
        <v>259</v>
      </c>
      <c r="B272" s="119"/>
      <c r="C272" s="140"/>
      <c r="D272" s="120"/>
      <c r="E272" s="121"/>
      <c r="F272" s="122"/>
      <c r="G272" s="212"/>
      <c r="H272" s="178"/>
    </row>
    <row r="273" spans="1:8" ht="39.950000000000003" customHeight="1" x14ac:dyDescent="0.25">
      <c r="A273" s="363">
        <f t="shared" si="4"/>
        <v>260</v>
      </c>
      <c r="B273" s="119"/>
      <c r="C273" s="141"/>
      <c r="D273" s="120"/>
      <c r="E273" s="142"/>
      <c r="F273" s="122"/>
      <c r="G273" s="213"/>
      <c r="H273" s="178"/>
    </row>
    <row r="274" spans="1:8" ht="39.950000000000003" customHeight="1" x14ac:dyDescent="0.25">
      <c r="A274" s="363">
        <f t="shared" si="4"/>
        <v>261</v>
      </c>
      <c r="B274" s="119"/>
      <c r="C274" s="140"/>
      <c r="D274" s="120"/>
      <c r="E274" s="121"/>
      <c r="F274" s="122"/>
      <c r="G274" s="212"/>
      <c r="H274" s="178"/>
    </row>
    <row r="275" spans="1:8" ht="39.950000000000003" customHeight="1" x14ac:dyDescent="0.25">
      <c r="A275" s="363">
        <f t="shared" si="4"/>
        <v>262</v>
      </c>
      <c r="B275" s="119"/>
      <c r="C275" s="141"/>
      <c r="D275" s="120"/>
      <c r="E275" s="142"/>
      <c r="F275" s="122"/>
      <c r="G275" s="213"/>
      <c r="H275" s="178"/>
    </row>
    <row r="276" spans="1:8" ht="39.950000000000003" customHeight="1" x14ac:dyDescent="0.25">
      <c r="A276" s="363">
        <f t="shared" si="4"/>
        <v>263</v>
      </c>
      <c r="B276" s="119"/>
      <c r="C276" s="140"/>
      <c r="D276" s="120"/>
      <c r="E276" s="121"/>
      <c r="F276" s="122"/>
      <c r="G276" s="212"/>
      <c r="H276" s="178"/>
    </row>
    <row r="277" spans="1:8" ht="39.950000000000003" customHeight="1" x14ac:dyDescent="0.25">
      <c r="A277" s="363">
        <f t="shared" si="4"/>
        <v>264</v>
      </c>
      <c r="B277" s="119"/>
      <c r="C277" s="141"/>
      <c r="D277" s="120"/>
      <c r="E277" s="142"/>
      <c r="F277" s="122"/>
      <c r="G277" s="213"/>
      <c r="H277" s="178"/>
    </row>
    <row r="278" spans="1:8" ht="39.950000000000003" customHeight="1" x14ac:dyDescent="0.25">
      <c r="A278" s="363">
        <f t="shared" si="4"/>
        <v>265</v>
      </c>
      <c r="B278" s="119"/>
      <c r="C278" s="140"/>
      <c r="D278" s="120"/>
      <c r="E278" s="121"/>
      <c r="F278" s="122"/>
      <c r="G278" s="212"/>
      <c r="H278" s="178"/>
    </row>
    <row r="279" spans="1:8" ht="39.950000000000003" customHeight="1" x14ac:dyDescent="0.25">
      <c r="A279" s="363">
        <f t="shared" si="4"/>
        <v>266</v>
      </c>
      <c r="B279" s="119"/>
      <c r="C279" s="141"/>
      <c r="D279" s="120"/>
      <c r="E279" s="142"/>
      <c r="F279" s="122"/>
      <c r="G279" s="213"/>
      <c r="H279" s="178"/>
    </row>
    <row r="280" spans="1:8" ht="39.950000000000003" customHeight="1" x14ac:dyDescent="0.25">
      <c r="A280" s="363">
        <f t="shared" si="4"/>
        <v>267</v>
      </c>
      <c r="B280" s="119"/>
      <c r="C280" s="140"/>
      <c r="D280" s="120"/>
      <c r="E280" s="121"/>
      <c r="F280" s="122"/>
      <c r="G280" s="212"/>
      <c r="H280" s="178"/>
    </row>
    <row r="281" spans="1:8" ht="39.950000000000003" customHeight="1" x14ac:dyDescent="0.25">
      <c r="A281" s="363">
        <f t="shared" si="4"/>
        <v>268</v>
      </c>
      <c r="B281" s="119"/>
      <c r="C281" s="141"/>
      <c r="D281" s="120"/>
      <c r="E281" s="142"/>
      <c r="F281" s="122"/>
      <c r="G281" s="213"/>
      <c r="H281" s="178"/>
    </row>
    <row r="282" spans="1:8" ht="39.950000000000003" customHeight="1" x14ac:dyDescent="0.25">
      <c r="A282" s="363">
        <f t="shared" si="4"/>
        <v>269</v>
      </c>
      <c r="B282" s="119"/>
      <c r="C282" s="140"/>
      <c r="D282" s="120"/>
      <c r="E282" s="121"/>
      <c r="F282" s="122"/>
      <c r="G282" s="212"/>
      <c r="H282" s="178"/>
    </row>
    <row r="283" spans="1:8" ht="39.950000000000003" customHeight="1" x14ac:dyDescent="0.25">
      <c r="A283" s="363">
        <f t="shared" si="4"/>
        <v>270</v>
      </c>
      <c r="B283" s="119"/>
      <c r="C283" s="141"/>
      <c r="D283" s="120"/>
      <c r="E283" s="142"/>
      <c r="F283" s="122"/>
      <c r="G283" s="213"/>
      <c r="H283" s="178"/>
    </row>
    <row r="284" spans="1:8" ht="39.950000000000003" customHeight="1" x14ac:dyDescent="0.25">
      <c r="A284" s="363">
        <f t="shared" si="4"/>
        <v>271</v>
      </c>
      <c r="B284" s="119"/>
      <c r="C284" s="140"/>
      <c r="D284" s="120"/>
      <c r="E284" s="121"/>
      <c r="F284" s="122"/>
      <c r="G284" s="212"/>
      <c r="H284" s="178"/>
    </row>
    <row r="285" spans="1:8" ht="39.950000000000003" customHeight="1" x14ac:dyDescent="0.25">
      <c r="A285" s="363">
        <f t="shared" si="4"/>
        <v>272</v>
      </c>
      <c r="B285" s="119"/>
      <c r="C285" s="141"/>
      <c r="D285" s="120"/>
      <c r="E285" s="142"/>
      <c r="F285" s="122"/>
      <c r="G285" s="213"/>
      <c r="H285" s="178"/>
    </row>
    <row r="286" spans="1:8" ht="39.950000000000003" customHeight="1" x14ac:dyDescent="0.25">
      <c r="A286" s="363">
        <f t="shared" si="4"/>
        <v>273</v>
      </c>
      <c r="B286" s="119"/>
      <c r="C286" s="140"/>
      <c r="D286" s="120"/>
      <c r="E286" s="121"/>
      <c r="F286" s="122"/>
      <c r="G286" s="212"/>
      <c r="H286" s="178"/>
    </row>
    <row r="287" spans="1:8" ht="39.950000000000003" customHeight="1" x14ac:dyDescent="0.25">
      <c r="A287" s="363">
        <f t="shared" si="4"/>
        <v>274</v>
      </c>
      <c r="B287" s="119"/>
      <c r="C287" s="141"/>
      <c r="D287" s="120"/>
      <c r="E287" s="142"/>
      <c r="F287" s="122"/>
      <c r="G287" s="213"/>
      <c r="H287" s="178"/>
    </row>
    <row r="288" spans="1:8" ht="39.950000000000003" customHeight="1" x14ac:dyDescent="0.25">
      <c r="A288" s="363">
        <f t="shared" si="4"/>
        <v>275</v>
      </c>
      <c r="B288" s="119"/>
      <c r="C288" s="140"/>
      <c r="D288" s="120"/>
      <c r="E288" s="121"/>
      <c r="F288" s="122"/>
      <c r="G288" s="212"/>
      <c r="H288" s="178"/>
    </row>
    <row r="289" spans="1:8" ht="39.950000000000003" customHeight="1" x14ac:dyDescent="0.25">
      <c r="A289" s="363">
        <f t="shared" si="4"/>
        <v>276</v>
      </c>
      <c r="B289" s="119"/>
      <c r="C289" s="141"/>
      <c r="D289" s="120"/>
      <c r="E289" s="142"/>
      <c r="F289" s="122"/>
      <c r="G289" s="213"/>
      <c r="H289" s="178"/>
    </row>
    <row r="290" spans="1:8" ht="39.950000000000003" customHeight="1" x14ac:dyDescent="0.25">
      <c r="A290" s="363">
        <f t="shared" si="4"/>
        <v>277</v>
      </c>
      <c r="B290" s="119"/>
      <c r="C290" s="140"/>
      <c r="D290" s="120"/>
      <c r="E290" s="121"/>
      <c r="F290" s="122"/>
      <c r="G290" s="212"/>
      <c r="H290" s="178"/>
    </row>
    <row r="291" spans="1:8" ht="39.950000000000003" customHeight="1" x14ac:dyDescent="0.25">
      <c r="A291" s="363">
        <f t="shared" si="4"/>
        <v>278</v>
      </c>
      <c r="B291" s="119"/>
      <c r="C291" s="141"/>
      <c r="D291" s="120"/>
      <c r="E291" s="142"/>
      <c r="F291" s="122"/>
      <c r="G291" s="213"/>
      <c r="H291" s="178"/>
    </row>
    <row r="292" spans="1:8" ht="39.950000000000003" customHeight="1" x14ac:dyDescent="0.25">
      <c r="A292" s="363">
        <f t="shared" si="4"/>
        <v>279</v>
      </c>
      <c r="B292" s="119"/>
      <c r="C292" s="140"/>
      <c r="D292" s="120"/>
      <c r="E292" s="121"/>
      <c r="F292" s="122"/>
      <c r="G292" s="212"/>
      <c r="H292" s="178"/>
    </row>
    <row r="293" spans="1:8" ht="39.950000000000003" customHeight="1" x14ac:dyDescent="0.25">
      <c r="A293" s="363">
        <f t="shared" si="4"/>
        <v>280</v>
      </c>
      <c r="B293" s="119"/>
      <c r="C293" s="141"/>
      <c r="D293" s="120"/>
      <c r="E293" s="142"/>
      <c r="F293" s="122"/>
      <c r="G293" s="213"/>
      <c r="H293" s="178"/>
    </row>
    <row r="294" spans="1:8" ht="39.950000000000003" customHeight="1" x14ac:dyDescent="0.25">
      <c r="A294" s="363">
        <f t="shared" si="4"/>
        <v>281</v>
      </c>
      <c r="B294" s="119"/>
      <c r="C294" s="140"/>
      <c r="D294" s="120"/>
      <c r="E294" s="121"/>
      <c r="F294" s="122"/>
      <c r="G294" s="212"/>
      <c r="H294" s="178"/>
    </row>
    <row r="295" spans="1:8" ht="39.950000000000003" customHeight="1" x14ac:dyDescent="0.25">
      <c r="A295" s="363">
        <f t="shared" si="4"/>
        <v>282</v>
      </c>
      <c r="B295" s="119"/>
      <c r="C295" s="141"/>
      <c r="D295" s="120"/>
      <c r="E295" s="142"/>
      <c r="F295" s="122"/>
      <c r="G295" s="213"/>
      <c r="H295" s="178"/>
    </row>
    <row r="296" spans="1:8" ht="39.950000000000003" customHeight="1" x14ac:dyDescent="0.25">
      <c r="A296" s="363">
        <f t="shared" si="4"/>
        <v>283</v>
      </c>
      <c r="B296" s="119"/>
      <c r="C296" s="140"/>
      <c r="D296" s="120"/>
      <c r="E296" s="121"/>
      <c r="F296" s="122"/>
      <c r="G296" s="212"/>
      <c r="H296" s="178"/>
    </row>
    <row r="297" spans="1:8" ht="39.950000000000003" customHeight="1" x14ac:dyDescent="0.25">
      <c r="A297" s="363">
        <f t="shared" si="4"/>
        <v>284</v>
      </c>
      <c r="B297" s="119"/>
      <c r="C297" s="141"/>
      <c r="D297" s="120"/>
      <c r="E297" s="142"/>
      <c r="F297" s="122"/>
      <c r="G297" s="213"/>
      <c r="H297" s="178"/>
    </row>
    <row r="298" spans="1:8" ht="39.950000000000003" customHeight="1" x14ac:dyDescent="0.25">
      <c r="A298" s="363">
        <f t="shared" si="4"/>
        <v>285</v>
      </c>
      <c r="B298" s="119"/>
      <c r="C298" s="140"/>
      <c r="D298" s="120"/>
      <c r="E298" s="121"/>
      <c r="F298" s="122"/>
      <c r="G298" s="212"/>
      <c r="H298" s="178"/>
    </row>
    <row r="299" spans="1:8" ht="39.950000000000003" customHeight="1" x14ac:dyDescent="0.25">
      <c r="A299" s="363">
        <f t="shared" si="4"/>
        <v>286</v>
      </c>
      <c r="B299" s="119"/>
      <c r="C299" s="141"/>
      <c r="D299" s="120"/>
      <c r="E299" s="142"/>
      <c r="F299" s="122"/>
      <c r="G299" s="213"/>
      <c r="H299" s="178"/>
    </row>
    <row r="300" spans="1:8" ht="39.950000000000003" customHeight="1" x14ac:dyDescent="0.25">
      <c r="A300" s="363">
        <f t="shared" si="4"/>
        <v>287</v>
      </c>
      <c r="B300" s="119"/>
      <c r="C300" s="140"/>
      <c r="D300" s="120"/>
      <c r="E300" s="121"/>
      <c r="F300" s="122"/>
      <c r="G300" s="212"/>
      <c r="H300" s="178"/>
    </row>
    <row r="301" spans="1:8" ht="39.950000000000003" customHeight="1" x14ac:dyDescent="0.25">
      <c r="A301" s="363">
        <f t="shared" si="4"/>
        <v>288</v>
      </c>
      <c r="B301" s="119"/>
      <c r="C301" s="141"/>
      <c r="D301" s="120"/>
      <c r="E301" s="142"/>
      <c r="F301" s="122"/>
      <c r="G301" s="213"/>
      <c r="H301" s="178"/>
    </row>
    <row r="302" spans="1:8" ht="39.950000000000003" customHeight="1" x14ac:dyDescent="0.25">
      <c r="A302" s="363">
        <f t="shared" si="4"/>
        <v>289</v>
      </c>
      <c r="B302" s="119"/>
      <c r="C302" s="140"/>
      <c r="D302" s="120"/>
      <c r="E302" s="121"/>
      <c r="F302" s="122"/>
      <c r="G302" s="212"/>
      <c r="H302" s="178"/>
    </row>
    <row r="303" spans="1:8" ht="39.950000000000003" customHeight="1" x14ac:dyDescent="0.25">
      <c r="A303" s="363">
        <f t="shared" si="4"/>
        <v>290</v>
      </c>
      <c r="B303" s="119"/>
      <c r="C303" s="141"/>
      <c r="D303" s="120"/>
      <c r="E303" s="142"/>
      <c r="F303" s="122"/>
      <c r="G303" s="213"/>
      <c r="H303" s="178"/>
    </row>
    <row r="304" spans="1:8" ht="39.950000000000003" customHeight="1" x14ac:dyDescent="0.25">
      <c r="A304" s="363">
        <f t="shared" si="4"/>
        <v>291</v>
      </c>
      <c r="B304" s="119"/>
      <c r="C304" s="140"/>
      <c r="D304" s="120"/>
      <c r="E304" s="121"/>
      <c r="F304" s="122"/>
      <c r="G304" s="212"/>
      <c r="H304" s="178"/>
    </row>
    <row r="305" spans="1:8" ht="39.950000000000003" customHeight="1" x14ac:dyDescent="0.25">
      <c r="A305" s="363">
        <f t="shared" si="4"/>
        <v>292</v>
      </c>
      <c r="B305" s="119"/>
      <c r="C305" s="141"/>
      <c r="D305" s="120"/>
      <c r="E305" s="142"/>
      <c r="F305" s="122"/>
      <c r="G305" s="213"/>
      <c r="H305" s="178"/>
    </row>
    <row r="306" spans="1:8" ht="39.950000000000003" customHeight="1" x14ac:dyDescent="0.25">
      <c r="A306" s="363">
        <f t="shared" si="4"/>
        <v>293</v>
      </c>
      <c r="B306" s="119"/>
      <c r="C306" s="140"/>
      <c r="D306" s="120"/>
      <c r="E306" s="121"/>
      <c r="F306" s="122"/>
      <c r="G306" s="212"/>
      <c r="H306" s="178"/>
    </row>
    <row r="307" spans="1:8" ht="39.950000000000003" customHeight="1" x14ac:dyDescent="0.25">
      <c r="A307" s="363">
        <f t="shared" si="4"/>
        <v>294</v>
      </c>
      <c r="B307" s="119"/>
      <c r="C307" s="141"/>
      <c r="D307" s="120"/>
      <c r="E307" s="142"/>
      <c r="F307" s="122"/>
      <c r="G307" s="213"/>
      <c r="H307" s="178"/>
    </row>
    <row r="308" spans="1:8" ht="39.950000000000003" customHeight="1" x14ac:dyDescent="0.25">
      <c r="A308" s="363">
        <f t="shared" si="4"/>
        <v>295</v>
      </c>
      <c r="B308" s="119"/>
      <c r="C308" s="140"/>
      <c r="D308" s="120"/>
      <c r="E308" s="121"/>
      <c r="F308" s="122"/>
      <c r="G308" s="212"/>
      <c r="H308" s="178"/>
    </row>
    <row r="309" spans="1:8" ht="39.950000000000003" customHeight="1" x14ac:dyDescent="0.25">
      <c r="A309" s="363">
        <f t="shared" si="4"/>
        <v>296</v>
      </c>
      <c r="B309" s="119"/>
      <c r="C309" s="141"/>
      <c r="D309" s="120"/>
      <c r="E309" s="142"/>
      <c r="F309" s="122"/>
      <c r="G309" s="213"/>
      <c r="H309" s="178"/>
    </row>
    <row r="310" spans="1:8" ht="39.950000000000003" customHeight="1" x14ac:dyDescent="0.25">
      <c r="A310" s="363">
        <f t="shared" si="4"/>
        <v>297</v>
      </c>
      <c r="B310" s="119"/>
      <c r="C310" s="140"/>
      <c r="D310" s="120"/>
      <c r="E310" s="121"/>
      <c r="F310" s="122"/>
      <c r="G310" s="212"/>
      <c r="H310" s="178"/>
    </row>
    <row r="311" spans="1:8" ht="39.950000000000003" customHeight="1" x14ac:dyDescent="0.25">
      <c r="A311" s="363">
        <f t="shared" si="4"/>
        <v>298</v>
      </c>
      <c r="B311" s="119"/>
      <c r="C311" s="141"/>
      <c r="D311" s="120"/>
      <c r="E311" s="142"/>
      <c r="F311" s="122"/>
      <c r="G311" s="213"/>
      <c r="H311" s="178"/>
    </row>
    <row r="312" spans="1:8" ht="39.950000000000003" customHeight="1" x14ac:dyDescent="0.25">
      <c r="A312" s="363">
        <f t="shared" si="4"/>
        <v>299</v>
      </c>
      <c r="B312" s="119"/>
      <c r="C312" s="140"/>
      <c r="D312" s="120"/>
      <c r="E312" s="121"/>
      <c r="F312" s="122"/>
      <c r="G312" s="212"/>
      <c r="H312" s="178"/>
    </row>
    <row r="313" spans="1:8" ht="39.950000000000003" customHeight="1" x14ac:dyDescent="0.25">
      <c r="A313" s="363">
        <f t="shared" si="4"/>
        <v>300</v>
      </c>
      <c r="B313" s="119"/>
      <c r="C313" s="141"/>
      <c r="D313" s="120"/>
      <c r="E313" s="142"/>
      <c r="F313" s="122"/>
      <c r="G313" s="213"/>
      <c r="H313" s="178"/>
    </row>
    <row r="314" spans="1:8" ht="39.950000000000003" customHeight="1" x14ac:dyDescent="0.25">
      <c r="A314" s="363">
        <f t="shared" si="4"/>
        <v>301</v>
      </c>
      <c r="B314" s="119"/>
      <c r="C314" s="140"/>
      <c r="D314" s="120"/>
      <c r="E314" s="121"/>
      <c r="F314" s="122"/>
      <c r="G314" s="212"/>
      <c r="H314" s="178"/>
    </row>
    <row r="315" spans="1:8" ht="39.950000000000003" customHeight="1" x14ac:dyDescent="0.25">
      <c r="A315" s="363">
        <f t="shared" si="4"/>
        <v>302</v>
      </c>
      <c r="B315" s="119"/>
      <c r="C315" s="141"/>
      <c r="D315" s="120"/>
      <c r="E315" s="142"/>
      <c r="F315" s="122"/>
      <c r="G315" s="213"/>
      <c r="H315" s="178"/>
    </row>
    <row r="316" spans="1:8" ht="39.950000000000003" customHeight="1" x14ac:dyDescent="0.25">
      <c r="A316" s="363">
        <f t="shared" si="4"/>
        <v>303</v>
      </c>
      <c r="B316" s="119"/>
      <c r="C316" s="140"/>
      <c r="D316" s="120"/>
      <c r="E316" s="121"/>
      <c r="F316" s="122"/>
      <c r="G316" s="212"/>
      <c r="H316" s="178"/>
    </row>
    <row r="317" spans="1:8" ht="39.950000000000003" customHeight="1" x14ac:dyDescent="0.25">
      <c r="A317" s="363">
        <f t="shared" si="4"/>
        <v>304</v>
      </c>
      <c r="B317" s="119"/>
      <c r="C317" s="141"/>
      <c r="D317" s="120"/>
      <c r="E317" s="142"/>
      <c r="F317" s="122"/>
      <c r="G317" s="213"/>
      <c r="H317" s="178"/>
    </row>
    <row r="318" spans="1:8" ht="39.950000000000003" customHeight="1" x14ac:dyDescent="0.25">
      <c r="A318" s="363">
        <f t="shared" si="4"/>
        <v>305</v>
      </c>
      <c r="B318" s="119"/>
      <c r="C318" s="140"/>
      <c r="D318" s="120"/>
      <c r="E318" s="121"/>
      <c r="F318" s="122"/>
      <c r="G318" s="212"/>
      <c r="H318" s="178"/>
    </row>
    <row r="319" spans="1:8" ht="39.950000000000003" customHeight="1" x14ac:dyDescent="0.25">
      <c r="A319" s="363">
        <f t="shared" si="4"/>
        <v>306</v>
      </c>
      <c r="B319" s="119"/>
      <c r="C319" s="141"/>
      <c r="D319" s="120"/>
      <c r="E319" s="142"/>
      <c r="F319" s="122"/>
      <c r="G319" s="213"/>
      <c r="H319" s="178"/>
    </row>
    <row r="320" spans="1:8" ht="39.950000000000003" customHeight="1" x14ac:dyDescent="0.25">
      <c r="A320" s="363">
        <f t="shared" si="4"/>
        <v>307</v>
      </c>
      <c r="B320" s="119"/>
      <c r="C320" s="140"/>
      <c r="D320" s="120"/>
      <c r="E320" s="121"/>
      <c r="F320" s="122"/>
      <c r="G320" s="212"/>
      <c r="H320" s="178"/>
    </row>
    <row r="321" spans="1:8" ht="39.950000000000003" customHeight="1" x14ac:dyDescent="0.25">
      <c r="A321" s="363">
        <f t="shared" si="4"/>
        <v>308</v>
      </c>
      <c r="B321" s="119"/>
      <c r="C321" s="141"/>
      <c r="D321" s="120"/>
      <c r="E321" s="142"/>
      <c r="F321" s="122"/>
      <c r="G321" s="213"/>
      <c r="H321" s="178"/>
    </row>
    <row r="322" spans="1:8" ht="39.950000000000003" customHeight="1" x14ac:dyDescent="0.25">
      <c r="A322" s="363">
        <f t="shared" si="4"/>
        <v>309</v>
      </c>
      <c r="B322" s="119"/>
      <c r="C322" s="140"/>
      <c r="D322" s="120"/>
      <c r="E322" s="121"/>
      <c r="F322" s="122"/>
      <c r="G322" s="212"/>
      <c r="H322" s="178"/>
    </row>
    <row r="323" spans="1:8" ht="39.950000000000003" customHeight="1" x14ac:dyDescent="0.25">
      <c r="A323" s="363">
        <f t="shared" si="4"/>
        <v>310</v>
      </c>
      <c r="B323" s="119"/>
      <c r="C323" s="141"/>
      <c r="D323" s="120"/>
      <c r="E323" s="142"/>
      <c r="F323" s="122"/>
      <c r="G323" s="213"/>
      <c r="H323" s="178"/>
    </row>
    <row r="324" spans="1:8" ht="39.950000000000003" customHeight="1" x14ac:dyDescent="0.25">
      <c r="A324" s="363">
        <f t="shared" si="4"/>
        <v>311</v>
      </c>
      <c r="B324" s="119"/>
      <c r="C324" s="140"/>
      <c r="D324" s="120"/>
      <c r="E324" s="121"/>
      <c r="F324" s="122"/>
      <c r="G324" s="212"/>
      <c r="H324" s="178"/>
    </row>
    <row r="325" spans="1:8" ht="39.950000000000003" customHeight="1" x14ac:dyDescent="0.25">
      <c r="A325" s="363">
        <f t="shared" si="4"/>
        <v>312</v>
      </c>
      <c r="B325" s="119"/>
      <c r="C325" s="141"/>
      <c r="D325" s="120"/>
      <c r="E325" s="142"/>
      <c r="F325" s="122"/>
      <c r="G325" s="213"/>
      <c r="H325" s="178"/>
    </row>
    <row r="326" spans="1:8" ht="39.950000000000003" customHeight="1" x14ac:dyDescent="0.25">
      <c r="A326" s="363">
        <f t="shared" si="4"/>
        <v>313</v>
      </c>
      <c r="B326" s="119"/>
      <c r="C326" s="140"/>
      <c r="D326" s="120"/>
      <c r="E326" s="121"/>
      <c r="F326" s="122"/>
      <c r="G326" s="212"/>
      <c r="H326" s="178"/>
    </row>
    <row r="327" spans="1:8" ht="39.950000000000003" customHeight="1" x14ac:dyDescent="0.25">
      <c r="A327" s="363">
        <f t="shared" si="4"/>
        <v>314</v>
      </c>
      <c r="B327" s="119"/>
      <c r="C327" s="141"/>
      <c r="D327" s="120"/>
      <c r="E327" s="142"/>
      <c r="F327" s="122"/>
      <c r="G327" s="213"/>
      <c r="H327" s="178"/>
    </row>
    <row r="328" spans="1:8" ht="39.950000000000003" customHeight="1" x14ac:dyDescent="0.25">
      <c r="A328" s="363">
        <f t="shared" si="4"/>
        <v>315</v>
      </c>
      <c r="B328" s="119"/>
      <c r="C328" s="140"/>
      <c r="D328" s="120"/>
      <c r="E328" s="121"/>
      <c r="F328" s="122"/>
      <c r="G328" s="212"/>
      <c r="H328" s="178"/>
    </row>
    <row r="329" spans="1:8" ht="39.950000000000003" customHeight="1" x14ac:dyDescent="0.25">
      <c r="A329" s="363">
        <f t="shared" si="4"/>
        <v>316</v>
      </c>
      <c r="B329" s="119"/>
      <c r="C329" s="141"/>
      <c r="D329" s="120"/>
      <c r="E329" s="142"/>
      <c r="F329" s="122"/>
      <c r="G329" s="213"/>
      <c r="H329" s="178"/>
    </row>
    <row r="330" spans="1:8" ht="39.950000000000003" customHeight="1" x14ac:dyDescent="0.25">
      <c r="A330" s="363">
        <f t="shared" si="4"/>
        <v>317</v>
      </c>
      <c r="B330" s="119"/>
      <c r="C330" s="140"/>
      <c r="D330" s="120"/>
      <c r="E330" s="121"/>
      <c r="F330" s="122"/>
      <c r="G330" s="212"/>
      <c r="H330" s="178"/>
    </row>
    <row r="331" spans="1:8" ht="39.950000000000003" customHeight="1" x14ac:dyDescent="0.25">
      <c r="A331" s="363">
        <f t="shared" si="4"/>
        <v>318</v>
      </c>
      <c r="B331" s="119"/>
      <c r="C331" s="141"/>
      <c r="D331" s="120"/>
      <c r="E331" s="142"/>
      <c r="F331" s="122"/>
      <c r="G331" s="213"/>
      <c r="H331" s="178"/>
    </row>
    <row r="332" spans="1:8" ht="39.950000000000003" customHeight="1" x14ac:dyDescent="0.25">
      <c r="A332" s="363">
        <f t="shared" si="4"/>
        <v>319</v>
      </c>
      <c r="B332" s="119"/>
      <c r="C332" s="140"/>
      <c r="D332" s="120"/>
      <c r="E332" s="121"/>
      <c r="F332" s="122"/>
      <c r="G332" s="212"/>
      <c r="H332" s="178"/>
    </row>
    <row r="333" spans="1:8" ht="39.950000000000003" customHeight="1" x14ac:dyDescent="0.25">
      <c r="A333" s="363">
        <f t="shared" si="4"/>
        <v>320</v>
      </c>
      <c r="B333" s="119"/>
      <c r="C333" s="141"/>
      <c r="D333" s="120"/>
      <c r="E333" s="142"/>
      <c r="F333" s="122"/>
      <c r="G333" s="213"/>
      <c r="H333" s="178"/>
    </row>
    <row r="334" spans="1:8" ht="39.950000000000003" customHeight="1" x14ac:dyDescent="0.25">
      <c r="A334" s="363">
        <f t="shared" si="4"/>
        <v>321</v>
      </c>
      <c r="B334" s="119"/>
      <c r="C334" s="140"/>
      <c r="D334" s="120"/>
      <c r="E334" s="121"/>
      <c r="F334" s="122"/>
      <c r="G334" s="212"/>
      <c r="H334" s="178"/>
    </row>
    <row r="335" spans="1:8" ht="39.950000000000003" customHeight="1" x14ac:dyDescent="0.25">
      <c r="A335" s="363">
        <f t="shared" ref="A335:A398" si="5">ROW(A322)</f>
        <v>322</v>
      </c>
      <c r="B335" s="119"/>
      <c r="C335" s="141"/>
      <c r="D335" s="120"/>
      <c r="E335" s="142"/>
      <c r="F335" s="122"/>
      <c r="G335" s="213"/>
      <c r="H335" s="178"/>
    </row>
    <row r="336" spans="1:8" ht="39.950000000000003" customHeight="1" x14ac:dyDescent="0.25">
      <c r="A336" s="363">
        <f t="shared" si="5"/>
        <v>323</v>
      </c>
      <c r="B336" s="119"/>
      <c r="C336" s="140"/>
      <c r="D336" s="120"/>
      <c r="E336" s="121"/>
      <c r="F336" s="122"/>
      <c r="G336" s="212"/>
      <c r="H336" s="178"/>
    </row>
    <row r="337" spans="1:8" ht="39.950000000000003" customHeight="1" x14ac:dyDescent="0.25">
      <c r="A337" s="363">
        <f t="shared" si="5"/>
        <v>324</v>
      </c>
      <c r="B337" s="119"/>
      <c r="C337" s="141"/>
      <c r="D337" s="120"/>
      <c r="E337" s="142"/>
      <c r="F337" s="122"/>
      <c r="G337" s="213"/>
      <c r="H337" s="178"/>
    </row>
    <row r="338" spans="1:8" ht="39.950000000000003" customHeight="1" x14ac:dyDescent="0.25">
      <c r="A338" s="363">
        <f t="shared" si="5"/>
        <v>325</v>
      </c>
      <c r="B338" s="119"/>
      <c r="C338" s="140"/>
      <c r="D338" s="120"/>
      <c r="E338" s="121"/>
      <c r="F338" s="122"/>
      <c r="G338" s="212"/>
      <c r="H338" s="178"/>
    </row>
    <row r="339" spans="1:8" ht="39.950000000000003" customHeight="1" x14ac:dyDescent="0.25">
      <c r="A339" s="363">
        <f t="shared" si="5"/>
        <v>326</v>
      </c>
      <c r="B339" s="119"/>
      <c r="C339" s="141"/>
      <c r="D339" s="120"/>
      <c r="E339" s="142"/>
      <c r="F339" s="122"/>
      <c r="G339" s="213"/>
      <c r="H339" s="178"/>
    </row>
    <row r="340" spans="1:8" ht="39.950000000000003" customHeight="1" x14ac:dyDescent="0.25">
      <c r="A340" s="363">
        <f t="shared" si="5"/>
        <v>327</v>
      </c>
      <c r="B340" s="119"/>
      <c r="C340" s="140"/>
      <c r="D340" s="120"/>
      <c r="E340" s="121"/>
      <c r="F340" s="122"/>
      <c r="G340" s="212"/>
      <c r="H340" s="178"/>
    </row>
    <row r="341" spans="1:8" ht="39.950000000000003" customHeight="1" x14ac:dyDescent="0.25">
      <c r="A341" s="363">
        <f t="shared" si="5"/>
        <v>328</v>
      </c>
      <c r="B341" s="119"/>
      <c r="C341" s="141"/>
      <c r="D341" s="120"/>
      <c r="E341" s="142"/>
      <c r="F341" s="122"/>
      <c r="G341" s="213"/>
      <c r="H341" s="178"/>
    </row>
    <row r="342" spans="1:8" ht="39.950000000000003" customHeight="1" x14ac:dyDescent="0.25">
      <c r="A342" s="363">
        <f t="shared" si="5"/>
        <v>329</v>
      </c>
      <c r="B342" s="119"/>
      <c r="C342" s="140"/>
      <c r="D342" s="120"/>
      <c r="E342" s="121"/>
      <c r="F342" s="122"/>
      <c r="G342" s="212"/>
      <c r="H342" s="178"/>
    </row>
    <row r="343" spans="1:8" ht="39.950000000000003" customHeight="1" x14ac:dyDescent="0.25">
      <c r="A343" s="363">
        <f t="shared" si="5"/>
        <v>330</v>
      </c>
      <c r="B343" s="119"/>
      <c r="C343" s="141"/>
      <c r="D343" s="120"/>
      <c r="E343" s="142"/>
      <c r="F343" s="122"/>
      <c r="G343" s="213"/>
      <c r="H343" s="178"/>
    </row>
    <row r="344" spans="1:8" ht="39.950000000000003" customHeight="1" x14ac:dyDescent="0.25">
      <c r="A344" s="363">
        <f t="shared" si="5"/>
        <v>331</v>
      </c>
      <c r="B344" s="119"/>
      <c r="C344" s="140"/>
      <c r="D344" s="120"/>
      <c r="E344" s="121"/>
      <c r="F344" s="122"/>
      <c r="G344" s="212"/>
      <c r="H344" s="178"/>
    </row>
    <row r="345" spans="1:8" ht="39.950000000000003" customHeight="1" x14ac:dyDescent="0.25">
      <c r="A345" s="363">
        <f t="shared" si="5"/>
        <v>332</v>
      </c>
      <c r="B345" s="119"/>
      <c r="C345" s="141"/>
      <c r="D345" s="120"/>
      <c r="E345" s="142"/>
      <c r="F345" s="122"/>
      <c r="G345" s="213"/>
      <c r="H345" s="178"/>
    </row>
    <row r="346" spans="1:8" ht="39.950000000000003" customHeight="1" x14ac:dyDescent="0.25">
      <c r="A346" s="363">
        <f t="shared" si="5"/>
        <v>333</v>
      </c>
      <c r="B346" s="119"/>
      <c r="C346" s="140"/>
      <c r="D346" s="120"/>
      <c r="E346" s="121"/>
      <c r="F346" s="122"/>
      <c r="G346" s="212"/>
      <c r="H346" s="178"/>
    </row>
    <row r="347" spans="1:8" ht="39.950000000000003" customHeight="1" x14ac:dyDescent="0.25">
      <c r="A347" s="363">
        <f t="shared" si="5"/>
        <v>334</v>
      </c>
      <c r="B347" s="119"/>
      <c r="C347" s="141"/>
      <c r="D347" s="120"/>
      <c r="E347" s="142"/>
      <c r="F347" s="122"/>
      <c r="G347" s="213"/>
      <c r="H347" s="178"/>
    </row>
    <row r="348" spans="1:8" ht="39.950000000000003" customHeight="1" x14ac:dyDescent="0.25">
      <c r="A348" s="363">
        <f t="shared" si="5"/>
        <v>335</v>
      </c>
      <c r="B348" s="119"/>
      <c r="C348" s="140"/>
      <c r="D348" s="120"/>
      <c r="E348" s="121"/>
      <c r="F348" s="122"/>
      <c r="G348" s="212"/>
      <c r="H348" s="178"/>
    </row>
    <row r="349" spans="1:8" ht="39.950000000000003" customHeight="1" x14ac:dyDescent="0.25">
      <c r="A349" s="363">
        <f t="shared" si="5"/>
        <v>336</v>
      </c>
      <c r="B349" s="119"/>
      <c r="C349" s="141"/>
      <c r="D349" s="120"/>
      <c r="E349" s="142"/>
      <c r="F349" s="122"/>
      <c r="G349" s="213"/>
      <c r="H349" s="178"/>
    </row>
    <row r="350" spans="1:8" ht="39.950000000000003" customHeight="1" x14ac:dyDescent="0.25">
      <c r="A350" s="363">
        <f t="shared" si="5"/>
        <v>337</v>
      </c>
      <c r="B350" s="119"/>
      <c r="C350" s="140"/>
      <c r="D350" s="120"/>
      <c r="E350" s="121"/>
      <c r="F350" s="122"/>
      <c r="G350" s="212"/>
      <c r="H350" s="178"/>
    </row>
    <row r="351" spans="1:8" ht="39.950000000000003" customHeight="1" x14ac:dyDescent="0.25">
      <c r="A351" s="363">
        <f t="shared" si="5"/>
        <v>338</v>
      </c>
      <c r="B351" s="119"/>
      <c r="C351" s="141"/>
      <c r="D351" s="120"/>
      <c r="E351" s="142"/>
      <c r="F351" s="122"/>
      <c r="G351" s="213"/>
      <c r="H351" s="178"/>
    </row>
    <row r="352" spans="1:8" ht="39.950000000000003" customHeight="1" x14ac:dyDescent="0.25">
      <c r="A352" s="363">
        <f t="shared" si="5"/>
        <v>339</v>
      </c>
      <c r="B352" s="119"/>
      <c r="C352" s="140"/>
      <c r="D352" s="120"/>
      <c r="E352" s="121"/>
      <c r="F352" s="122"/>
      <c r="G352" s="212"/>
      <c r="H352" s="178"/>
    </row>
    <row r="353" spans="1:8" ht="39.950000000000003" customHeight="1" x14ac:dyDescent="0.25">
      <c r="A353" s="363">
        <f t="shared" si="5"/>
        <v>340</v>
      </c>
      <c r="B353" s="119"/>
      <c r="C353" s="141"/>
      <c r="D353" s="120"/>
      <c r="E353" s="142"/>
      <c r="F353" s="122"/>
      <c r="G353" s="213"/>
      <c r="H353" s="178"/>
    </row>
    <row r="354" spans="1:8" ht="39.950000000000003" customHeight="1" x14ac:dyDescent="0.25">
      <c r="A354" s="363">
        <f t="shared" si="5"/>
        <v>341</v>
      </c>
      <c r="B354" s="119"/>
      <c r="C354" s="140"/>
      <c r="D354" s="120"/>
      <c r="E354" s="121"/>
      <c r="F354" s="122"/>
      <c r="G354" s="212"/>
      <c r="H354" s="178"/>
    </row>
    <row r="355" spans="1:8" ht="39.950000000000003" customHeight="1" x14ac:dyDescent="0.25">
      <c r="A355" s="363">
        <f t="shared" si="5"/>
        <v>342</v>
      </c>
      <c r="B355" s="119"/>
      <c r="C355" s="141"/>
      <c r="D355" s="120"/>
      <c r="E355" s="142"/>
      <c r="F355" s="122"/>
      <c r="G355" s="213"/>
      <c r="H355" s="178"/>
    </row>
    <row r="356" spans="1:8" ht="39.950000000000003" customHeight="1" x14ac:dyDescent="0.25">
      <c r="A356" s="363">
        <f t="shared" si="5"/>
        <v>343</v>
      </c>
      <c r="B356" s="119"/>
      <c r="C356" s="140"/>
      <c r="D356" s="120"/>
      <c r="E356" s="121"/>
      <c r="F356" s="122"/>
      <c r="G356" s="212"/>
      <c r="H356" s="178"/>
    </row>
    <row r="357" spans="1:8" ht="39.950000000000003" customHeight="1" x14ac:dyDescent="0.25">
      <c r="A357" s="363">
        <f t="shared" si="5"/>
        <v>344</v>
      </c>
      <c r="B357" s="119"/>
      <c r="C357" s="141"/>
      <c r="D357" s="120"/>
      <c r="E357" s="142"/>
      <c r="F357" s="122"/>
      <c r="G357" s="213"/>
      <c r="H357" s="178"/>
    </row>
    <row r="358" spans="1:8" ht="39.950000000000003" customHeight="1" x14ac:dyDescent="0.25">
      <c r="A358" s="363">
        <f t="shared" si="5"/>
        <v>345</v>
      </c>
      <c r="B358" s="119"/>
      <c r="C358" s="140"/>
      <c r="D358" s="120"/>
      <c r="E358" s="121"/>
      <c r="F358" s="122"/>
      <c r="G358" s="212"/>
      <c r="H358" s="178"/>
    </row>
    <row r="359" spans="1:8" ht="39.950000000000003" customHeight="1" x14ac:dyDescent="0.25">
      <c r="A359" s="363">
        <f t="shared" si="5"/>
        <v>346</v>
      </c>
      <c r="B359" s="119"/>
      <c r="C359" s="141"/>
      <c r="D359" s="120"/>
      <c r="E359" s="142"/>
      <c r="F359" s="122"/>
      <c r="G359" s="213"/>
      <c r="H359" s="178"/>
    </row>
    <row r="360" spans="1:8" ht="39.950000000000003" customHeight="1" x14ac:dyDescent="0.25">
      <c r="A360" s="363">
        <f t="shared" si="5"/>
        <v>347</v>
      </c>
      <c r="B360" s="119"/>
      <c r="C360" s="140"/>
      <c r="D360" s="120"/>
      <c r="E360" s="121"/>
      <c r="F360" s="122"/>
      <c r="G360" s="212"/>
      <c r="H360" s="178"/>
    </row>
    <row r="361" spans="1:8" ht="39.950000000000003" customHeight="1" x14ac:dyDescent="0.25">
      <c r="A361" s="363">
        <f t="shared" si="5"/>
        <v>348</v>
      </c>
      <c r="B361" s="119"/>
      <c r="C361" s="141"/>
      <c r="D361" s="120"/>
      <c r="E361" s="142"/>
      <c r="F361" s="122"/>
      <c r="G361" s="213"/>
      <c r="H361" s="178"/>
    </row>
    <row r="362" spans="1:8" ht="39.950000000000003" customHeight="1" x14ac:dyDescent="0.25">
      <c r="A362" s="363">
        <f t="shared" si="5"/>
        <v>349</v>
      </c>
      <c r="B362" s="119"/>
      <c r="C362" s="140"/>
      <c r="D362" s="120"/>
      <c r="E362" s="121"/>
      <c r="F362" s="122"/>
      <c r="G362" s="212"/>
      <c r="H362" s="178"/>
    </row>
    <row r="363" spans="1:8" ht="39.950000000000003" customHeight="1" x14ac:dyDescent="0.25">
      <c r="A363" s="363">
        <f t="shared" si="5"/>
        <v>350</v>
      </c>
      <c r="B363" s="119"/>
      <c r="C363" s="141"/>
      <c r="D363" s="120"/>
      <c r="E363" s="142"/>
      <c r="F363" s="122"/>
      <c r="G363" s="213"/>
      <c r="H363" s="178"/>
    </row>
    <row r="364" spans="1:8" ht="39.950000000000003" customHeight="1" x14ac:dyDescent="0.25">
      <c r="A364" s="363">
        <f t="shared" si="5"/>
        <v>351</v>
      </c>
      <c r="B364" s="119"/>
      <c r="C364" s="140"/>
      <c r="D364" s="120"/>
      <c r="E364" s="121"/>
      <c r="F364" s="122"/>
      <c r="G364" s="212"/>
      <c r="H364" s="178"/>
    </row>
    <row r="365" spans="1:8" ht="39.950000000000003" customHeight="1" x14ac:dyDescent="0.25">
      <c r="A365" s="363">
        <f t="shared" si="5"/>
        <v>352</v>
      </c>
      <c r="B365" s="119"/>
      <c r="C365" s="141"/>
      <c r="D365" s="120"/>
      <c r="E365" s="142"/>
      <c r="F365" s="122"/>
      <c r="G365" s="213"/>
      <c r="H365" s="178"/>
    </row>
    <row r="366" spans="1:8" ht="39.950000000000003" customHeight="1" x14ac:dyDescent="0.25">
      <c r="A366" s="363">
        <f t="shared" si="5"/>
        <v>353</v>
      </c>
      <c r="B366" s="119"/>
      <c r="C366" s="140"/>
      <c r="D366" s="120"/>
      <c r="E366" s="121"/>
      <c r="F366" s="122"/>
      <c r="G366" s="212"/>
      <c r="H366" s="178"/>
    </row>
    <row r="367" spans="1:8" ht="39.950000000000003" customHeight="1" x14ac:dyDescent="0.25">
      <c r="A367" s="363">
        <f t="shared" si="5"/>
        <v>354</v>
      </c>
      <c r="B367" s="119"/>
      <c r="C367" s="141"/>
      <c r="D367" s="120"/>
      <c r="E367" s="142"/>
      <c r="F367" s="122"/>
      <c r="G367" s="213"/>
      <c r="H367" s="178"/>
    </row>
    <row r="368" spans="1:8" ht="39.950000000000003" customHeight="1" x14ac:dyDescent="0.25">
      <c r="A368" s="363">
        <f t="shared" si="5"/>
        <v>355</v>
      </c>
      <c r="B368" s="119"/>
      <c r="C368" s="140"/>
      <c r="D368" s="120"/>
      <c r="E368" s="121"/>
      <c r="F368" s="122"/>
      <c r="G368" s="212"/>
      <c r="H368" s="178"/>
    </row>
    <row r="369" spans="1:8" ht="39.950000000000003" customHeight="1" x14ac:dyDescent="0.25">
      <c r="A369" s="363">
        <f t="shared" si="5"/>
        <v>356</v>
      </c>
      <c r="B369" s="119"/>
      <c r="C369" s="141"/>
      <c r="D369" s="120"/>
      <c r="E369" s="142"/>
      <c r="F369" s="122"/>
      <c r="G369" s="213"/>
      <c r="H369" s="178"/>
    </row>
    <row r="370" spans="1:8" ht="39.950000000000003" customHeight="1" x14ac:dyDescent="0.25">
      <c r="A370" s="363">
        <f t="shared" si="5"/>
        <v>357</v>
      </c>
      <c r="B370" s="119"/>
      <c r="C370" s="140"/>
      <c r="D370" s="120"/>
      <c r="E370" s="121"/>
      <c r="F370" s="122"/>
      <c r="G370" s="212"/>
      <c r="H370" s="178"/>
    </row>
    <row r="371" spans="1:8" ht="39.950000000000003" customHeight="1" x14ac:dyDescent="0.25">
      <c r="A371" s="363">
        <f t="shared" si="5"/>
        <v>358</v>
      </c>
      <c r="B371" s="119"/>
      <c r="C371" s="141"/>
      <c r="D371" s="120"/>
      <c r="E371" s="142"/>
      <c r="F371" s="122"/>
      <c r="G371" s="213"/>
      <c r="H371" s="178"/>
    </row>
    <row r="372" spans="1:8" ht="39.950000000000003" customHeight="1" x14ac:dyDescent="0.25">
      <c r="A372" s="363">
        <f t="shared" si="5"/>
        <v>359</v>
      </c>
      <c r="B372" s="119"/>
      <c r="C372" s="140"/>
      <c r="D372" s="120"/>
      <c r="E372" s="121"/>
      <c r="F372" s="122"/>
      <c r="G372" s="212"/>
      <c r="H372" s="178"/>
    </row>
    <row r="373" spans="1:8" ht="39.950000000000003" customHeight="1" x14ac:dyDescent="0.25">
      <c r="A373" s="363">
        <f t="shared" si="5"/>
        <v>360</v>
      </c>
      <c r="B373" s="119"/>
      <c r="C373" s="141"/>
      <c r="D373" s="120"/>
      <c r="E373" s="142"/>
      <c r="F373" s="122"/>
      <c r="G373" s="213"/>
      <c r="H373" s="178"/>
    </row>
    <row r="374" spans="1:8" ht="39.950000000000003" customHeight="1" x14ac:dyDescent="0.25">
      <c r="A374" s="363">
        <f t="shared" si="5"/>
        <v>361</v>
      </c>
      <c r="B374" s="119"/>
      <c r="C374" s="140"/>
      <c r="D374" s="120"/>
      <c r="E374" s="121"/>
      <c r="F374" s="122"/>
      <c r="G374" s="212"/>
      <c r="H374" s="178"/>
    </row>
    <row r="375" spans="1:8" ht="39.950000000000003" customHeight="1" x14ac:dyDescent="0.25">
      <c r="A375" s="363">
        <f t="shared" si="5"/>
        <v>362</v>
      </c>
      <c r="B375" s="119"/>
      <c r="C375" s="141"/>
      <c r="D375" s="120"/>
      <c r="E375" s="142"/>
      <c r="F375" s="122"/>
      <c r="G375" s="213"/>
      <c r="H375" s="178"/>
    </row>
    <row r="376" spans="1:8" ht="39.950000000000003" customHeight="1" x14ac:dyDescent="0.25">
      <c r="A376" s="363">
        <f t="shared" si="5"/>
        <v>363</v>
      </c>
      <c r="B376" s="119"/>
      <c r="C376" s="140"/>
      <c r="D376" s="120"/>
      <c r="E376" s="121"/>
      <c r="F376" s="122"/>
      <c r="G376" s="212"/>
      <c r="H376" s="178"/>
    </row>
    <row r="377" spans="1:8" ht="39.950000000000003" customHeight="1" x14ac:dyDescent="0.25">
      <c r="A377" s="363">
        <f t="shared" si="5"/>
        <v>364</v>
      </c>
      <c r="B377" s="119"/>
      <c r="C377" s="141"/>
      <c r="D377" s="120"/>
      <c r="E377" s="142"/>
      <c r="F377" s="122"/>
      <c r="G377" s="213"/>
      <c r="H377" s="178"/>
    </row>
    <row r="378" spans="1:8" ht="39.950000000000003" customHeight="1" x14ac:dyDescent="0.25">
      <c r="A378" s="363">
        <f t="shared" si="5"/>
        <v>365</v>
      </c>
      <c r="B378" s="119"/>
      <c r="C378" s="140"/>
      <c r="D378" s="120"/>
      <c r="E378" s="121"/>
      <c r="F378" s="122"/>
      <c r="G378" s="212"/>
      <c r="H378" s="178"/>
    </row>
    <row r="379" spans="1:8" ht="39.950000000000003" customHeight="1" x14ac:dyDescent="0.25">
      <c r="A379" s="363">
        <f t="shared" si="5"/>
        <v>366</v>
      </c>
      <c r="B379" s="119"/>
      <c r="C379" s="141"/>
      <c r="D379" s="120"/>
      <c r="E379" s="142"/>
      <c r="F379" s="122"/>
      <c r="G379" s="213"/>
      <c r="H379" s="178"/>
    </row>
    <row r="380" spans="1:8" ht="39.950000000000003" customHeight="1" x14ac:dyDescent="0.25">
      <c r="A380" s="363">
        <f t="shared" si="5"/>
        <v>367</v>
      </c>
      <c r="B380" s="119"/>
      <c r="C380" s="140"/>
      <c r="D380" s="120"/>
      <c r="E380" s="121"/>
      <c r="F380" s="122"/>
      <c r="G380" s="212"/>
      <c r="H380" s="178"/>
    </row>
    <row r="381" spans="1:8" ht="39.950000000000003" customHeight="1" x14ac:dyDescent="0.25">
      <c r="A381" s="363">
        <f t="shared" si="5"/>
        <v>368</v>
      </c>
      <c r="B381" s="119"/>
      <c r="C381" s="141"/>
      <c r="D381" s="120"/>
      <c r="E381" s="142"/>
      <c r="F381" s="122"/>
      <c r="G381" s="213"/>
      <c r="H381" s="178"/>
    </row>
    <row r="382" spans="1:8" ht="39.950000000000003" customHeight="1" x14ac:dyDescent="0.25">
      <c r="A382" s="363">
        <f t="shared" si="5"/>
        <v>369</v>
      </c>
      <c r="B382" s="119"/>
      <c r="C382" s="140"/>
      <c r="D382" s="120"/>
      <c r="E382" s="121"/>
      <c r="F382" s="122"/>
      <c r="G382" s="212"/>
      <c r="H382" s="178"/>
    </row>
    <row r="383" spans="1:8" ht="39.950000000000003" customHeight="1" x14ac:dyDescent="0.25">
      <c r="A383" s="363">
        <f t="shared" si="5"/>
        <v>370</v>
      </c>
      <c r="B383" s="119"/>
      <c r="C383" s="141"/>
      <c r="D383" s="120"/>
      <c r="E383" s="142"/>
      <c r="F383" s="122"/>
      <c r="G383" s="213"/>
      <c r="H383" s="178"/>
    </row>
    <row r="384" spans="1:8" ht="39.950000000000003" customHeight="1" x14ac:dyDescent="0.25">
      <c r="A384" s="363">
        <f t="shared" si="5"/>
        <v>371</v>
      </c>
      <c r="B384" s="119"/>
      <c r="C384" s="140"/>
      <c r="D384" s="120"/>
      <c r="E384" s="121"/>
      <c r="F384" s="122"/>
      <c r="G384" s="212"/>
      <c r="H384" s="178"/>
    </row>
    <row r="385" spans="1:8" ht="39.950000000000003" customHeight="1" x14ac:dyDescent="0.25">
      <c r="A385" s="363">
        <f t="shared" si="5"/>
        <v>372</v>
      </c>
      <c r="B385" s="119"/>
      <c r="C385" s="141"/>
      <c r="D385" s="120"/>
      <c r="E385" s="142"/>
      <c r="F385" s="122"/>
      <c r="G385" s="213"/>
      <c r="H385" s="178"/>
    </row>
    <row r="386" spans="1:8" ht="39.950000000000003" customHeight="1" x14ac:dyDescent="0.25">
      <c r="A386" s="363">
        <f t="shared" si="5"/>
        <v>373</v>
      </c>
      <c r="B386" s="119"/>
      <c r="C386" s="140"/>
      <c r="D386" s="120"/>
      <c r="E386" s="121"/>
      <c r="F386" s="122"/>
      <c r="G386" s="212"/>
      <c r="H386" s="178"/>
    </row>
    <row r="387" spans="1:8" ht="39.950000000000003" customHeight="1" x14ac:dyDescent="0.25">
      <c r="A387" s="363">
        <f t="shared" si="5"/>
        <v>374</v>
      </c>
      <c r="B387" s="119"/>
      <c r="C387" s="141"/>
      <c r="D387" s="120"/>
      <c r="E387" s="142"/>
      <c r="F387" s="122"/>
      <c r="G387" s="213"/>
      <c r="H387" s="178"/>
    </row>
    <row r="388" spans="1:8" ht="39.950000000000003" customHeight="1" x14ac:dyDescent="0.25">
      <c r="A388" s="363">
        <f t="shared" si="5"/>
        <v>375</v>
      </c>
      <c r="B388" s="119"/>
      <c r="C388" s="140"/>
      <c r="D388" s="120"/>
      <c r="E388" s="121"/>
      <c r="F388" s="122"/>
      <c r="G388" s="212"/>
      <c r="H388" s="178"/>
    </row>
    <row r="389" spans="1:8" ht="39.950000000000003" customHeight="1" x14ac:dyDescent="0.25">
      <c r="A389" s="363">
        <f t="shared" si="5"/>
        <v>376</v>
      </c>
      <c r="B389" s="119"/>
      <c r="C389" s="141"/>
      <c r="D389" s="120"/>
      <c r="E389" s="142"/>
      <c r="F389" s="122"/>
      <c r="G389" s="213"/>
      <c r="H389" s="178"/>
    </row>
    <row r="390" spans="1:8" ht="39.950000000000003" customHeight="1" x14ac:dyDescent="0.25">
      <c r="A390" s="363">
        <f t="shared" si="5"/>
        <v>377</v>
      </c>
      <c r="B390" s="119"/>
      <c r="C390" s="140"/>
      <c r="D390" s="120"/>
      <c r="E390" s="121"/>
      <c r="F390" s="122"/>
      <c r="G390" s="212"/>
      <c r="H390" s="178"/>
    </row>
    <row r="391" spans="1:8" ht="39.950000000000003" customHeight="1" x14ac:dyDescent="0.25">
      <c r="A391" s="363">
        <f t="shared" si="5"/>
        <v>378</v>
      </c>
      <c r="B391" s="119"/>
      <c r="C391" s="141"/>
      <c r="D391" s="120"/>
      <c r="E391" s="142"/>
      <c r="F391" s="122"/>
      <c r="G391" s="213"/>
      <c r="H391" s="178"/>
    </row>
    <row r="392" spans="1:8" ht="39.950000000000003" customHeight="1" x14ac:dyDescent="0.25">
      <c r="A392" s="363">
        <f t="shared" si="5"/>
        <v>379</v>
      </c>
      <c r="B392" s="119"/>
      <c r="C392" s="140"/>
      <c r="D392" s="120"/>
      <c r="E392" s="121"/>
      <c r="F392" s="122"/>
      <c r="G392" s="212"/>
      <c r="H392" s="178"/>
    </row>
    <row r="393" spans="1:8" ht="39.950000000000003" customHeight="1" x14ac:dyDescent="0.25">
      <c r="A393" s="363">
        <f t="shared" si="5"/>
        <v>380</v>
      </c>
      <c r="B393" s="119"/>
      <c r="C393" s="141"/>
      <c r="D393" s="120"/>
      <c r="E393" s="142"/>
      <c r="F393" s="122"/>
      <c r="G393" s="213"/>
      <c r="H393" s="178"/>
    </row>
    <row r="394" spans="1:8" ht="39.950000000000003" customHeight="1" x14ac:dyDescent="0.25">
      <c r="A394" s="363">
        <f t="shared" si="5"/>
        <v>381</v>
      </c>
      <c r="B394" s="119"/>
      <c r="C394" s="140"/>
      <c r="D394" s="120"/>
      <c r="E394" s="121"/>
      <c r="F394" s="122"/>
      <c r="G394" s="212"/>
      <c r="H394" s="178"/>
    </row>
    <row r="395" spans="1:8" ht="39.950000000000003" customHeight="1" x14ac:dyDescent="0.25">
      <c r="A395" s="363">
        <f t="shared" si="5"/>
        <v>382</v>
      </c>
      <c r="B395" s="119"/>
      <c r="C395" s="141"/>
      <c r="D395" s="120"/>
      <c r="E395" s="142"/>
      <c r="F395" s="122"/>
      <c r="G395" s="213"/>
      <c r="H395" s="178"/>
    </row>
    <row r="396" spans="1:8" ht="39.950000000000003" customHeight="1" x14ac:dyDescent="0.25">
      <c r="A396" s="363">
        <f t="shared" si="5"/>
        <v>383</v>
      </c>
      <c r="B396" s="119"/>
      <c r="C396" s="140"/>
      <c r="D396" s="120"/>
      <c r="E396" s="121"/>
      <c r="F396" s="122"/>
      <c r="G396" s="212"/>
      <c r="H396" s="178"/>
    </row>
    <row r="397" spans="1:8" ht="39.950000000000003" customHeight="1" x14ac:dyDescent="0.25">
      <c r="A397" s="363">
        <f t="shared" si="5"/>
        <v>384</v>
      </c>
      <c r="B397" s="119"/>
      <c r="C397" s="141"/>
      <c r="D397" s="120"/>
      <c r="E397" s="142"/>
      <c r="F397" s="122"/>
      <c r="G397" s="213"/>
      <c r="H397" s="178"/>
    </row>
    <row r="398" spans="1:8" ht="39.950000000000003" customHeight="1" x14ac:dyDescent="0.25">
      <c r="A398" s="363">
        <f t="shared" si="5"/>
        <v>385</v>
      </c>
      <c r="B398" s="119"/>
      <c r="C398" s="140"/>
      <c r="D398" s="120"/>
      <c r="E398" s="121"/>
      <c r="F398" s="122"/>
      <c r="G398" s="212"/>
      <c r="H398" s="178"/>
    </row>
    <row r="399" spans="1:8" ht="39.950000000000003" customHeight="1" x14ac:dyDescent="0.25">
      <c r="A399" s="363">
        <f t="shared" ref="A399:A413" si="6">ROW(A386)</f>
        <v>386</v>
      </c>
      <c r="B399" s="119"/>
      <c r="C399" s="141"/>
      <c r="D399" s="120"/>
      <c r="E399" s="142"/>
      <c r="F399" s="122"/>
      <c r="G399" s="213"/>
      <c r="H399" s="178"/>
    </row>
    <row r="400" spans="1:8" ht="39.950000000000003" customHeight="1" x14ac:dyDescent="0.25">
      <c r="A400" s="363">
        <f t="shared" si="6"/>
        <v>387</v>
      </c>
      <c r="B400" s="119"/>
      <c r="C400" s="140"/>
      <c r="D400" s="120"/>
      <c r="E400" s="121"/>
      <c r="F400" s="122"/>
      <c r="G400" s="212"/>
      <c r="H400" s="178"/>
    </row>
    <row r="401" spans="1:8" ht="39.950000000000003" customHeight="1" x14ac:dyDescent="0.25">
      <c r="A401" s="363">
        <f t="shared" si="6"/>
        <v>388</v>
      </c>
      <c r="B401" s="119"/>
      <c r="C401" s="141"/>
      <c r="D401" s="120"/>
      <c r="E401" s="142"/>
      <c r="F401" s="122"/>
      <c r="G401" s="213"/>
      <c r="H401" s="178"/>
    </row>
    <row r="402" spans="1:8" ht="39.950000000000003" customHeight="1" x14ac:dyDescent="0.25">
      <c r="A402" s="363">
        <f t="shared" si="6"/>
        <v>389</v>
      </c>
      <c r="B402" s="119"/>
      <c r="C402" s="140"/>
      <c r="D402" s="120"/>
      <c r="E402" s="121"/>
      <c r="F402" s="122"/>
      <c r="G402" s="212"/>
      <c r="H402" s="178"/>
    </row>
    <row r="403" spans="1:8" ht="39.950000000000003" customHeight="1" x14ac:dyDescent="0.25">
      <c r="A403" s="363">
        <f t="shared" si="6"/>
        <v>390</v>
      </c>
      <c r="B403" s="119"/>
      <c r="C403" s="141"/>
      <c r="D403" s="120"/>
      <c r="E403" s="142"/>
      <c r="F403" s="122"/>
      <c r="G403" s="213"/>
      <c r="H403" s="178"/>
    </row>
    <row r="404" spans="1:8" ht="39.950000000000003" customHeight="1" x14ac:dyDescent="0.25">
      <c r="A404" s="363">
        <f t="shared" si="6"/>
        <v>391</v>
      </c>
      <c r="B404" s="119"/>
      <c r="C404" s="140"/>
      <c r="D404" s="120"/>
      <c r="E404" s="121"/>
      <c r="F404" s="122"/>
      <c r="G404" s="212"/>
      <c r="H404" s="178"/>
    </row>
    <row r="405" spans="1:8" ht="39.950000000000003" customHeight="1" x14ac:dyDescent="0.25">
      <c r="A405" s="363">
        <f t="shared" si="6"/>
        <v>392</v>
      </c>
      <c r="B405" s="119"/>
      <c r="C405" s="141"/>
      <c r="D405" s="120"/>
      <c r="E405" s="142"/>
      <c r="F405" s="122"/>
      <c r="G405" s="213"/>
      <c r="H405" s="178"/>
    </row>
    <row r="406" spans="1:8" ht="39.950000000000003" customHeight="1" x14ac:dyDescent="0.25">
      <c r="A406" s="363">
        <f t="shared" si="6"/>
        <v>393</v>
      </c>
      <c r="B406" s="119"/>
      <c r="C406" s="140"/>
      <c r="D406" s="120"/>
      <c r="E406" s="121"/>
      <c r="F406" s="122"/>
      <c r="G406" s="212"/>
      <c r="H406" s="178"/>
    </row>
    <row r="407" spans="1:8" ht="39.950000000000003" customHeight="1" x14ac:dyDescent="0.25">
      <c r="A407" s="363">
        <f t="shared" si="6"/>
        <v>394</v>
      </c>
      <c r="B407" s="119"/>
      <c r="C407" s="141"/>
      <c r="D407" s="120"/>
      <c r="E407" s="142"/>
      <c r="F407" s="122"/>
      <c r="G407" s="213"/>
      <c r="H407" s="178"/>
    </row>
    <row r="408" spans="1:8" ht="39.950000000000003" customHeight="1" x14ac:dyDescent="0.25">
      <c r="A408" s="363">
        <f t="shared" si="6"/>
        <v>395</v>
      </c>
      <c r="B408" s="119"/>
      <c r="C408" s="140"/>
      <c r="D408" s="120"/>
      <c r="E408" s="121"/>
      <c r="F408" s="122"/>
      <c r="G408" s="212"/>
      <c r="H408" s="178"/>
    </row>
    <row r="409" spans="1:8" ht="39.950000000000003" customHeight="1" x14ac:dyDescent="0.25">
      <c r="A409" s="363">
        <f t="shared" si="6"/>
        <v>396</v>
      </c>
      <c r="B409" s="119"/>
      <c r="C409" s="141"/>
      <c r="D409" s="120"/>
      <c r="E409" s="142"/>
      <c r="F409" s="122"/>
      <c r="G409" s="213"/>
      <c r="H409" s="178"/>
    </row>
    <row r="410" spans="1:8" ht="39.950000000000003" customHeight="1" x14ac:dyDescent="0.25">
      <c r="A410" s="363">
        <f t="shared" si="6"/>
        <v>397</v>
      </c>
      <c r="B410" s="119"/>
      <c r="C410" s="140"/>
      <c r="D410" s="120"/>
      <c r="E410" s="121"/>
      <c r="F410" s="122"/>
      <c r="G410" s="212"/>
      <c r="H410" s="178"/>
    </row>
    <row r="411" spans="1:8" ht="39.950000000000003" customHeight="1" x14ac:dyDescent="0.25">
      <c r="A411" s="363">
        <f t="shared" si="6"/>
        <v>398</v>
      </c>
      <c r="B411" s="119"/>
      <c r="C411" s="141"/>
      <c r="D411" s="120"/>
      <c r="E411" s="142"/>
      <c r="F411" s="122"/>
      <c r="G411" s="213"/>
      <c r="H411" s="178"/>
    </row>
    <row r="412" spans="1:8" ht="39.950000000000003" customHeight="1" x14ac:dyDescent="0.25">
      <c r="A412" s="363">
        <f t="shared" si="6"/>
        <v>399</v>
      </c>
      <c r="B412" s="119"/>
      <c r="C412" s="140"/>
      <c r="D412" s="120"/>
      <c r="E412" s="121"/>
      <c r="F412" s="122"/>
      <c r="G412" s="212"/>
      <c r="H412" s="178"/>
    </row>
    <row r="413" spans="1:8" ht="39.950000000000003" customHeight="1" x14ac:dyDescent="0.25">
      <c r="A413" s="363">
        <f t="shared" si="6"/>
        <v>400</v>
      </c>
      <c r="B413" s="119"/>
      <c r="C413" s="141"/>
      <c r="D413" s="120"/>
      <c r="E413" s="142"/>
      <c r="F413" s="122"/>
      <c r="G413" s="213"/>
      <c r="H413" s="178"/>
    </row>
  </sheetData>
  <sheetProtection algorithmName="SHA-512" hashValue="iACm/r2JcnekAVPK16fnPRAQAglJt1CK7u7pcvQvm/kuChNHqexS6CrT+tlFOBw09uMW3NOi4EE/cM6Q8EN7XQ==" saltValue="WMC3Aasw84NnRu6hQJWBaQ==" spinCount="100000" sheet="1" objects="1" scenarios="1"/>
  <mergeCells count="18">
    <mergeCell ref="D9:E10"/>
    <mergeCell ref="A9:C10"/>
    <mergeCell ref="A2:H2"/>
    <mergeCell ref="A3:H3"/>
    <mergeCell ref="A4:H4"/>
    <mergeCell ref="A5:H5"/>
    <mergeCell ref="A12:H12"/>
    <mergeCell ref="A6:F6"/>
    <mergeCell ref="A7:C7"/>
    <mergeCell ref="A8:C8"/>
    <mergeCell ref="A11:C11"/>
    <mergeCell ref="D7:E7"/>
    <mergeCell ref="D8:E8"/>
    <mergeCell ref="G7:H7"/>
    <mergeCell ref="G8:H8"/>
    <mergeCell ref="G9:H9"/>
    <mergeCell ref="G10:H10"/>
    <mergeCell ref="G11:H11"/>
  </mergeCells>
  <dataValidations count="2">
    <dataValidation type="date" allowBlank="1" showInputMessage="1" showErrorMessage="1" prompt="Use MM/DD/YYYY format.  Leave blank until date is needed. " sqref="B14:B413" xr:uid="{00000000-0002-0000-0400-000000000000}">
      <formula1>36526</formula1>
      <formula2>46022</formula2>
    </dataValidation>
    <dataValidation type="whole" allowBlank="1" showInputMessage="1" showErrorMessage="1" prompt="Use a number.  Do NOT use alphabet" sqref="G14:G413" xr:uid="{00000000-0002-0000-0400-000001000000}">
      <formula1>0</formula1>
      <formula2>5000</formula2>
    </dataValidation>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Select an option from drop-down list. " xr:uid="{00000000-0002-0000-0400-000002000000}">
          <x14:formula1>
            <xm:f>'pick list '!$M$29:$M$30</xm:f>
          </x14:formula1>
          <xm:sqref>C14:C413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AX73"/>
  <sheetViews>
    <sheetView zoomScale="80" zoomScaleNormal="80" workbookViewId="0">
      <pane ySplit="1" topLeftCell="A2" activePane="bottomLeft" state="frozen"/>
      <selection activeCell="E1" sqref="E1"/>
      <selection pane="bottomLeft" activeCell="E14" sqref="E14:K14"/>
    </sheetView>
  </sheetViews>
  <sheetFormatPr defaultRowHeight="15" x14ac:dyDescent="0.25"/>
  <cols>
    <col min="1" max="3" width="5.7109375" customWidth="1"/>
    <col min="4" max="4" width="7.85546875" customWidth="1"/>
    <col min="5" max="21" width="5.7109375" customWidth="1"/>
    <col min="22" max="22" width="8" customWidth="1"/>
    <col min="23" max="45" width="5.7109375" customWidth="1"/>
    <col min="46" max="46" width="6.5703125" customWidth="1"/>
    <col min="47" max="57" width="5.7109375" customWidth="1"/>
  </cols>
  <sheetData>
    <row r="1" spans="1:50" ht="50.1" customHeight="1" x14ac:dyDescent="0.25">
      <c r="A1" s="617" t="s">
        <v>317</v>
      </c>
      <c r="B1" s="618"/>
      <c r="C1" s="619" t="s">
        <v>318</v>
      </c>
      <c r="D1" s="620"/>
      <c r="E1" s="621" t="s">
        <v>330</v>
      </c>
      <c r="F1" s="622"/>
      <c r="G1" s="622"/>
      <c r="H1" s="622"/>
      <c r="I1" s="622"/>
      <c r="J1" s="622"/>
      <c r="K1" s="623"/>
      <c r="L1" s="624" t="s">
        <v>331</v>
      </c>
      <c r="M1" s="625"/>
      <c r="N1" s="625"/>
      <c r="O1" s="625"/>
      <c r="P1" s="625"/>
      <c r="Q1" s="625"/>
      <c r="R1" s="626"/>
      <c r="S1" s="627" t="s">
        <v>323</v>
      </c>
      <c r="T1" s="627"/>
      <c r="U1" s="627"/>
      <c r="V1" s="628" t="s">
        <v>332</v>
      </c>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row>
    <row r="2" spans="1:50" ht="18.75" x14ac:dyDescent="0.25">
      <c r="A2" s="405" t="str">
        <f>'BASE GRANTEE SET UP &amp; INFO'!A1</f>
        <v>WV Bureau for Behavioral Health and Health Facilities - Traumatic Brain Injury (TBI) Program V20210501</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7"/>
    </row>
    <row r="3" spans="1:50" ht="18.75" x14ac:dyDescent="0.25">
      <c r="A3" s="597" t="str">
        <f>'BASE GRANTEE SET UP &amp; INFO'!A2</f>
        <v>Fiscal Year 2022 (July 1, 2021- June 30, 2022) includes data elements from previous years</v>
      </c>
      <c r="B3" s="590"/>
      <c r="C3" s="590"/>
      <c r="D3" s="590"/>
      <c r="E3" s="590"/>
      <c r="F3" s="590"/>
      <c r="G3" s="590"/>
      <c r="H3" s="590"/>
      <c r="I3" s="590"/>
      <c r="J3" s="590"/>
      <c r="K3" s="590"/>
      <c r="L3" s="590"/>
      <c r="M3" s="590"/>
      <c r="N3" s="590"/>
      <c r="O3" s="590"/>
      <c r="P3" s="590"/>
      <c r="Q3" s="590"/>
      <c r="R3" s="590"/>
      <c r="S3" s="590"/>
      <c r="T3" s="590"/>
      <c r="U3" s="590"/>
      <c r="V3" s="590"/>
      <c r="W3" s="590"/>
      <c r="X3" s="590"/>
      <c r="Y3" s="590"/>
      <c r="Z3" s="590"/>
      <c r="AA3" s="590"/>
      <c r="AB3" s="590"/>
      <c r="AC3" s="590"/>
      <c r="AD3" s="590"/>
      <c r="AE3" s="590"/>
      <c r="AF3" s="590"/>
      <c r="AG3" s="590"/>
      <c r="AH3" s="590"/>
      <c r="AI3" s="590"/>
      <c r="AJ3" s="590"/>
      <c r="AK3" s="590"/>
      <c r="AL3" s="590"/>
      <c r="AM3" s="590"/>
      <c r="AN3" s="590"/>
      <c r="AO3" s="590"/>
      <c r="AP3" s="590"/>
      <c r="AQ3" s="590"/>
      <c r="AR3" s="590"/>
      <c r="AS3" s="590"/>
      <c r="AT3" s="590"/>
      <c r="AU3" s="590"/>
      <c r="AV3" s="590"/>
      <c r="AW3" s="590"/>
      <c r="AX3" s="598"/>
    </row>
    <row r="4" spans="1:50" ht="15" customHeight="1" x14ac:dyDescent="0.25">
      <c r="A4" s="486" t="str">
        <f>'BASE GRANTEE SET UP &amp; INFO'!A3</f>
        <v xml:space="preserve">Program reports need to be submitted electronically, via e-mail to DHHRBBHReporting@wv.gov within 25 calendar days of the end of each month </v>
      </c>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c r="AS4" s="487"/>
      <c r="AT4" s="487"/>
      <c r="AU4" s="487"/>
      <c r="AV4" s="487"/>
      <c r="AW4" s="487"/>
      <c r="AX4" s="488"/>
    </row>
    <row r="5" spans="1:50" ht="24.95" customHeight="1" x14ac:dyDescent="0.25">
      <c r="A5" s="580" t="s">
        <v>284</v>
      </c>
      <c r="B5" s="581"/>
      <c r="C5" s="581"/>
      <c r="D5" s="581"/>
      <c r="E5" s="581"/>
      <c r="F5" s="581"/>
      <c r="G5" s="581"/>
      <c r="H5" s="581"/>
      <c r="I5" s="581"/>
      <c r="J5" s="581"/>
      <c r="K5" s="581"/>
      <c r="L5" s="581"/>
      <c r="M5" s="581"/>
      <c r="N5" s="581"/>
      <c r="O5" s="581"/>
      <c r="P5" s="581"/>
      <c r="Q5" s="581"/>
      <c r="R5" s="581"/>
      <c r="S5" s="581"/>
      <c r="T5" s="581"/>
      <c r="U5" s="581"/>
      <c r="V5" s="581"/>
      <c r="W5" s="581"/>
      <c r="X5" s="581"/>
      <c r="Y5" s="581"/>
      <c r="Z5" s="581"/>
      <c r="AA5" s="581"/>
      <c r="AB5" s="581"/>
      <c r="AC5" s="581"/>
      <c r="AD5" s="581"/>
      <c r="AE5" s="581"/>
      <c r="AF5" s="581"/>
      <c r="AG5" s="581"/>
      <c r="AH5" s="581"/>
      <c r="AI5" s="581"/>
      <c r="AJ5" s="581"/>
      <c r="AK5" s="581"/>
      <c r="AL5" s="581"/>
      <c r="AM5" s="581"/>
      <c r="AN5" s="581"/>
      <c r="AO5" s="581"/>
      <c r="AP5" s="581"/>
      <c r="AQ5" s="581"/>
      <c r="AR5" s="581"/>
      <c r="AS5" s="581"/>
      <c r="AT5" s="581"/>
      <c r="AU5" s="581"/>
      <c r="AV5" s="581"/>
      <c r="AW5" s="581"/>
      <c r="AX5" s="581"/>
    </row>
    <row r="6" spans="1:50" ht="18.75" x14ac:dyDescent="0.25">
      <c r="A6" s="647" t="s">
        <v>326</v>
      </c>
      <c r="B6" s="648"/>
      <c r="C6" s="648"/>
      <c r="D6" s="648"/>
      <c r="E6" s="648"/>
      <c r="F6" s="648"/>
      <c r="G6" s="648"/>
      <c r="H6" s="648"/>
      <c r="I6" s="648"/>
      <c r="J6" s="648"/>
      <c r="K6" s="648"/>
      <c r="L6" s="648"/>
      <c r="M6" s="648"/>
      <c r="N6" s="648"/>
      <c r="O6" s="648"/>
      <c r="P6" s="648"/>
      <c r="Q6" s="648"/>
      <c r="R6" s="648"/>
      <c r="S6" s="648"/>
      <c r="T6" s="648"/>
      <c r="U6" s="648"/>
      <c r="V6" s="648"/>
      <c r="W6" s="648"/>
      <c r="X6" s="648"/>
      <c r="Y6" s="648"/>
      <c r="Z6" s="648"/>
      <c r="AA6" s="648"/>
      <c r="AB6" s="648"/>
      <c r="AC6" s="648"/>
      <c r="AD6" s="648"/>
      <c r="AE6" s="648"/>
      <c r="AF6" s="648"/>
      <c r="AG6" s="648"/>
      <c r="AH6" s="648"/>
      <c r="AI6" s="648"/>
      <c r="AJ6" s="648"/>
      <c r="AK6" s="648"/>
      <c r="AL6" s="648"/>
      <c r="AM6" s="648"/>
      <c r="AN6" s="648"/>
      <c r="AO6" s="648"/>
      <c r="AP6" s="648"/>
      <c r="AQ6" s="648"/>
      <c r="AR6" s="648"/>
      <c r="AS6" s="648"/>
      <c r="AT6" s="648"/>
      <c r="AU6" s="648"/>
      <c r="AV6" s="648"/>
      <c r="AW6" s="648"/>
      <c r="AX6" s="649"/>
    </row>
    <row r="7" spans="1:50" ht="20.100000000000001" customHeight="1" x14ac:dyDescent="0.25">
      <c r="A7" s="612" t="s">
        <v>204</v>
      </c>
      <c r="B7" s="612"/>
      <c r="C7" s="612"/>
      <c r="D7" s="612"/>
      <c r="E7" s="612"/>
      <c r="F7" s="612"/>
      <c r="G7" s="612"/>
      <c r="H7" s="612"/>
      <c r="I7" s="612"/>
      <c r="J7" s="583" t="str">
        <f>'BASE GRANTEE SET UP &amp; INFO'!G5</f>
        <v xml:space="preserve">Traumatic Brain Injury (TBI) Program </v>
      </c>
      <c r="K7" s="584"/>
      <c r="L7" s="584"/>
      <c r="M7" s="584"/>
      <c r="N7" s="584"/>
      <c r="O7" s="584"/>
      <c r="P7" s="584"/>
      <c r="Q7" s="584"/>
      <c r="R7" s="584"/>
      <c r="S7" s="584"/>
      <c r="T7" s="584"/>
      <c r="U7" s="584"/>
      <c r="V7" s="584"/>
      <c r="W7" s="584"/>
      <c r="X7" s="584"/>
      <c r="Y7" s="650" t="s">
        <v>31</v>
      </c>
      <c r="Z7" s="650"/>
      <c r="AA7" s="650"/>
      <c r="AB7" s="650"/>
      <c r="AC7" s="650"/>
      <c r="AD7" s="650"/>
      <c r="AE7" s="650"/>
      <c r="AF7" s="650"/>
      <c r="AG7" s="650"/>
      <c r="AH7" s="650"/>
      <c r="AI7" s="650"/>
      <c r="AJ7" s="583" t="str">
        <f>'BASE GRANTEE SET UP &amp; INFO'!Y5</f>
        <v xml:space="preserve">WV University Research Corporation - WVU Center of Excellence in Disabilities </v>
      </c>
      <c r="AK7" s="584"/>
      <c r="AL7" s="584"/>
      <c r="AM7" s="584"/>
      <c r="AN7" s="584"/>
      <c r="AO7" s="584"/>
      <c r="AP7" s="584"/>
      <c r="AQ7" s="584"/>
      <c r="AR7" s="584"/>
      <c r="AS7" s="584"/>
      <c r="AT7" s="584"/>
      <c r="AU7" s="584"/>
      <c r="AV7" s="584"/>
      <c r="AW7" s="584"/>
      <c r="AX7" s="585"/>
    </row>
    <row r="8" spans="1:50" ht="20.100000000000001" customHeight="1" x14ac:dyDescent="0.25">
      <c r="A8" s="612" t="s">
        <v>207</v>
      </c>
      <c r="B8" s="612"/>
      <c r="C8" s="612"/>
      <c r="D8" s="612"/>
      <c r="E8" s="612"/>
      <c r="F8" s="612"/>
      <c r="G8" s="612"/>
      <c r="H8" s="612"/>
      <c r="I8" s="612"/>
      <c r="J8" s="583" t="str">
        <f>'BASE GRANTEE SET UP &amp; INFO'!G6</f>
        <v xml:space="preserve">TBI Program </v>
      </c>
      <c r="K8" s="584"/>
      <c r="L8" s="584"/>
      <c r="M8" s="584"/>
      <c r="N8" s="584"/>
      <c r="O8" s="584"/>
      <c r="P8" s="584"/>
      <c r="Q8" s="584"/>
      <c r="R8" s="584"/>
      <c r="S8" s="584"/>
      <c r="T8" s="584"/>
      <c r="U8" s="584"/>
      <c r="V8" s="584"/>
      <c r="W8" s="584"/>
      <c r="X8" s="584"/>
      <c r="Y8" s="650" t="s">
        <v>209</v>
      </c>
      <c r="Z8" s="650"/>
      <c r="AA8" s="650"/>
      <c r="AB8" s="650"/>
      <c r="AC8" s="650"/>
      <c r="AD8" s="650"/>
      <c r="AE8" s="650"/>
      <c r="AF8" s="650"/>
      <c r="AG8" s="650"/>
      <c r="AH8" s="650"/>
      <c r="AI8" s="650"/>
      <c r="AJ8" s="583">
        <f>'BASE GRANTEE SET UP &amp; INFO'!Y6</f>
        <v>0</v>
      </c>
      <c r="AK8" s="584"/>
      <c r="AL8" s="584"/>
      <c r="AM8" s="584"/>
      <c r="AN8" s="584"/>
      <c r="AO8" s="584"/>
      <c r="AP8" s="584"/>
      <c r="AQ8" s="584"/>
      <c r="AR8" s="584"/>
      <c r="AS8" s="584"/>
      <c r="AT8" s="584"/>
      <c r="AU8" s="584"/>
      <c r="AV8" s="584"/>
      <c r="AW8" s="584"/>
      <c r="AX8" s="585"/>
    </row>
    <row r="9" spans="1:50" x14ac:dyDescent="0.25">
      <c r="A9" s="506" t="s">
        <v>210</v>
      </c>
      <c r="B9" s="507"/>
      <c r="C9" s="507"/>
      <c r="D9" s="507"/>
      <c r="E9" s="507"/>
      <c r="F9" s="507"/>
      <c r="G9" s="507"/>
      <c r="H9" s="507"/>
      <c r="I9" s="508"/>
      <c r="J9" s="604" t="str">
        <f>'BASE GRANTEE SET UP &amp; INFO'!G7</f>
        <v>959 Hartman Run Road, Morgantown, WV 26506</v>
      </c>
      <c r="K9" s="605"/>
      <c r="L9" s="605"/>
      <c r="M9" s="605"/>
      <c r="N9" s="605"/>
      <c r="O9" s="605"/>
      <c r="P9" s="605"/>
      <c r="Q9" s="605"/>
      <c r="R9" s="605"/>
      <c r="S9" s="605"/>
      <c r="T9" s="605"/>
      <c r="U9" s="605"/>
      <c r="V9" s="605"/>
      <c r="W9" s="605"/>
      <c r="X9" s="605"/>
      <c r="Y9" s="650" t="s">
        <v>212</v>
      </c>
      <c r="Z9" s="650"/>
      <c r="AA9" s="650"/>
      <c r="AB9" s="650"/>
      <c r="AC9" s="650"/>
      <c r="AD9" s="650"/>
      <c r="AE9" s="650"/>
      <c r="AF9" s="650"/>
      <c r="AG9" s="650"/>
      <c r="AH9" s="650"/>
      <c r="AI9" s="650"/>
      <c r="AJ9" s="583">
        <f>'BASE GRANTEE SET UP &amp; INFO'!Y7</f>
        <v>0</v>
      </c>
      <c r="AK9" s="584"/>
      <c r="AL9" s="584"/>
      <c r="AM9" s="584"/>
      <c r="AN9" s="584"/>
      <c r="AO9" s="584"/>
      <c r="AP9" s="584"/>
      <c r="AQ9" s="584"/>
      <c r="AR9" s="584"/>
      <c r="AS9" s="584"/>
      <c r="AT9" s="584"/>
      <c r="AU9" s="584"/>
      <c r="AV9" s="584"/>
      <c r="AW9" s="584"/>
      <c r="AX9" s="585"/>
    </row>
    <row r="10" spans="1:50" x14ac:dyDescent="0.25">
      <c r="A10" s="509"/>
      <c r="B10" s="510"/>
      <c r="C10" s="510"/>
      <c r="D10" s="510"/>
      <c r="E10" s="510"/>
      <c r="F10" s="510"/>
      <c r="G10" s="510"/>
      <c r="H10" s="510"/>
      <c r="I10" s="511"/>
      <c r="J10" s="606"/>
      <c r="K10" s="607"/>
      <c r="L10" s="607"/>
      <c r="M10" s="607"/>
      <c r="N10" s="607"/>
      <c r="O10" s="607"/>
      <c r="P10" s="607"/>
      <c r="Q10" s="607"/>
      <c r="R10" s="607"/>
      <c r="S10" s="607"/>
      <c r="T10" s="607"/>
      <c r="U10" s="607"/>
      <c r="V10" s="607"/>
      <c r="W10" s="607"/>
      <c r="X10" s="607"/>
      <c r="Y10" s="612" t="s">
        <v>213</v>
      </c>
      <c r="Z10" s="612"/>
      <c r="AA10" s="612"/>
      <c r="AB10" s="612"/>
      <c r="AC10" s="612"/>
      <c r="AD10" s="612"/>
      <c r="AE10" s="612"/>
      <c r="AF10" s="612"/>
      <c r="AG10" s="612"/>
      <c r="AH10" s="612"/>
      <c r="AI10" s="612"/>
      <c r="AJ10" s="583">
        <f>'BASE GRANTEE SET UP &amp; INFO'!Y8</f>
        <v>0</v>
      </c>
      <c r="AK10" s="584"/>
      <c r="AL10" s="584"/>
      <c r="AM10" s="584"/>
      <c r="AN10" s="584"/>
      <c r="AO10" s="584"/>
      <c r="AP10" s="584"/>
      <c r="AQ10" s="584"/>
      <c r="AR10" s="584"/>
      <c r="AS10" s="584"/>
      <c r="AT10" s="584"/>
      <c r="AU10" s="584"/>
      <c r="AV10" s="584"/>
      <c r="AW10" s="584"/>
      <c r="AX10" s="585"/>
    </row>
    <row r="11" spans="1:50" ht="20.100000000000001" customHeight="1" x14ac:dyDescent="0.25">
      <c r="A11" s="582" t="s">
        <v>285</v>
      </c>
      <c r="B11" s="582"/>
      <c r="C11" s="582"/>
      <c r="D11" s="582"/>
      <c r="E11" s="582"/>
      <c r="F11" s="582"/>
      <c r="G11" s="582"/>
      <c r="H11" s="582"/>
      <c r="I11" s="582"/>
      <c r="J11" s="601" t="s">
        <v>333</v>
      </c>
      <c r="K11" s="602"/>
      <c r="L11" s="603"/>
      <c r="M11" s="652" t="s">
        <v>334</v>
      </c>
      <c r="N11" s="653"/>
      <c r="O11" s="653"/>
      <c r="P11" s="654"/>
      <c r="Q11" s="601" t="s">
        <v>335</v>
      </c>
      <c r="R11" s="602"/>
      <c r="S11" s="602"/>
      <c r="T11" s="602"/>
      <c r="U11" s="602"/>
      <c r="V11" s="603"/>
      <c r="W11" s="655">
        <f>'BASE GRANTEE SET UP &amp; INFO'!M9</f>
        <v>2023</v>
      </c>
      <c r="X11" s="656"/>
      <c r="Y11" s="612" t="s">
        <v>218</v>
      </c>
      <c r="Z11" s="612"/>
      <c r="AA11" s="612"/>
      <c r="AB11" s="612"/>
      <c r="AC11" s="612"/>
      <c r="AD11" s="612"/>
      <c r="AE11" s="612"/>
      <c r="AF11" s="612"/>
      <c r="AG11" s="612"/>
      <c r="AH11" s="612"/>
      <c r="AI11" s="612"/>
      <c r="AJ11" s="592">
        <f>'BASE GRANTEE SET UP &amp; INFO'!Y9</f>
        <v>0</v>
      </c>
      <c r="AK11" s="593"/>
      <c r="AL11" s="593"/>
      <c r="AM11" s="593"/>
      <c r="AN11" s="593"/>
      <c r="AO11" s="593"/>
      <c r="AP11" s="593"/>
      <c r="AQ11" s="593"/>
      <c r="AR11" s="593"/>
      <c r="AS11" s="593"/>
      <c r="AT11" s="593"/>
      <c r="AU11" s="593"/>
      <c r="AV11" s="593"/>
      <c r="AW11" s="593"/>
      <c r="AX11" s="651"/>
    </row>
    <row r="12" spans="1:50" ht="24.95" customHeight="1" x14ac:dyDescent="0.25">
      <c r="A12" s="581" t="s">
        <v>336</v>
      </c>
      <c r="B12" s="581"/>
      <c r="C12" s="581"/>
      <c r="D12" s="581"/>
      <c r="E12" s="581"/>
      <c r="F12" s="581"/>
      <c r="G12" s="581"/>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c r="AI12" s="581"/>
      <c r="AJ12" s="581"/>
      <c r="AK12" s="581"/>
      <c r="AL12" s="581"/>
      <c r="AM12" s="581"/>
      <c r="AN12" s="581"/>
      <c r="AO12" s="581"/>
      <c r="AP12" s="581"/>
      <c r="AQ12" s="581"/>
      <c r="AR12" s="581"/>
      <c r="AS12" s="581"/>
      <c r="AT12" s="581"/>
      <c r="AU12" s="581"/>
      <c r="AV12" s="581"/>
      <c r="AW12" s="581"/>
      <c r="AX12" s="581"/>
    </row>
    <row r="13" spans="1:50" ht="45" customHeight="1" x14ac:dyDescent="0.25">
      <c r="A13" s="617" t="s">
        <v>317</v>
      </c>
      <c r="B13" s="618"/>
      <c r="C13" s="619" t="s">
        <v>318</v>
      </c>
      <c r="D13" s="620"/>
      <c r="E13" s="621" t="s">
        <v>330</v>
      </c>
      <c r="F13" s="622"/>
      <c r="G13" s="622"/>
      <c r="H13" s="622"/>
      <c r="I13" s="622"/>
      <c r="J13" s="622"/>
      <c r="K13" s="623"/>
      <c r="L13" s="624" t="s">
        <v>331</v>
      </c>
      <c r="M13" s="625"/>
      <c r="N13" s="625"/>
      <c r="O13" s="625"/>
      <c r="P13" s="625"/>
      <c r="Q13" s="625"/>
      <c r="R13" s="626"/>
      <c r="S13" s="627" t="s">
        <v>323</v>
      </c>
      <c r="T13" s="627"/>
      <c r="U13" s="627"/>
      <c r="V13" s="628" t="s">
        <v>332</v>
      </c>
      <c r="W13" s="628"/>
      <c r="X13" s="628"/>
      <c r="Y13" s="628"/>
      <c r="Z13" s="628"/>
      <c r="AA13" s="628"/>
      <c r="AB13" s="628"/>
      <c r="AC13" s="628"/>
      <c r="AD13" s="628"/>
      <c r="AE13" s="628"/>
      <c r="AF13" s="628"/>
      <c r="AG13" s="628"/>
      <c r="AH13" s="628"/>
      <c r="AI13" s="628"/>
      <c r="AJ13" s="628"/>
      <c r="AK13" s="628"/>
      <c r="AL13" s="628"/>
      <c r="AM13" s="628"/>
      <c r="AN13" s="628"/>
      <c r="AO13" s="628"/>
      <c r="AP13" s="628"/>
      <c r="AQ13" s="628"/>
      <c r="AR13" s="628"/>
      <c r="AS13" s="628"/>
      <c r="AT13" s="628"/>
      <c r="AU13" s="628"/>
      <c r="AV13" s="628"/>
      <c r="AW13" s="628"/>
      <c r="AX13" s="628"/>
    </row>
    <row r="14" spans="1:50" ht="39.950000000000003" customHeight="1" x14ac:dyDescent="0.25">
      <c r="A14" s="633">
        <f>ROW(A1)</f>
        <v>1</v>
      </c>
      <c r="B14" s="634"/>
      <c r="C14" s="631"/>
      <c r="D14" s="632"/>
      <c r="E14" s="640"/>
      <c r="F14" s="641"/>
      <c r="G14" s="641"/>
      <c r="H14" s="641"/>
      <c r="I14" s="641"/>
      <c r="J14" s="641"/>
      <c r="K14" s="642"/>
      <c r="L14" s="635"/>
      <c r="M14" s="636"/>
      <c r="N14" s="636"/>
      <c r="O14" s="636"/>
      <c r="P14" s="636"/>
      <c r="Q14" s="636"/>
      <c r="R14" s="637"/>
      <c r="S14" s="643"/>
      <c r="T14" s="643"/>
      <c r="U14" s="643"/>
      <c r="V14" s="638"/>
      <c r="W14" s="638"/>
      <c r="X14" s="638"/>
      <c r="Y14" s="638"/>
      <c r="Z14" s="638"/>
      <c r="AA14" s="638"/>
      <c r="AB14" s="638"/>
      <c r="AC14" s="638"/>
      <c r="AD14" s="638"/>
      <c r="AE14" s="638"/>
      <c r="AF14" s="638"/>
      <c r="AG14" s="638"/>
      <c r="AH14" s="638"/>
      <c r="AI14" s="638"/>
      <c r="AJ14" s="638"/>
      <c r="AK14" s="638"/>
      <c r="AL14" s="638"/>
      <c r="AM14" s="638"/>
      <c r="AN14" s="638"/>
      <c r="AO14" s="638"/>
      <c r="AP14" s="638"/>
      <c r="AQ14" s="638"/>
      <c r="AR14" s="638"/>
      <c r="AS14" s="638"/>
      <c r="AT14" s="638"/>
      <c r="AU14" s="638"/>
      <c r="AV14" s="638"/>
      <c r="AW14" s="638"/>
      <c r="AX14" s="638"/>
    </row>
    <row r="15" spans="1:50" ht="39.950000000000003" customHeight="1" x14ac:dyDescent="0.25">
      <c r="A15" s="633">
        <f>ROW(A2)</f>
        <v>2</v>
      </c>
      <c r="B15" s="634"/>
      <c r="C15" s="629"/>
      <c r="D15" s="630"/>
      <c r="E15" s="640"/>
      <c r="F15" s="641"/>
      <c r="G15" s="641"/>
      <c r="H15" s="641"/>
      <c r="I15" s="641"/>
      <c r="J15" s="641"/>
      <c r="K15" s="642"/>
      <c r="L15" s="644"/>
      <c r="M15" s="645"/>
      <c r="N15" s="645"/>
      <c r="O15" s="645"/>
      <c r="P15" s="645"/>
      <c r="Q15" s="645"/>
      <c r="R15" s="646"/>
      <c r="S15" s="643"/>
      <c r="T15" s="643"/>
      <c r="U15" s="643"/>
      <c r="V15" s="639"/>
      <c r="W15" s="639"/>
      <c r="X15" s="639"/>
      <c r="Y15" s="639"/>
      <c r="Z15" s="639"/>
      <c r="AA15" s="639"/>
      <c r="AB15" s="639"/>
      <c r="AC15" s="639"/>
      <c r="AD15" s="639"/>
      <c r="AE15" s="639"/>
      <c r="AF15" s="639"/>
      <c r="AG15" s="639"/>
      <c r="AH15" s="639"/>
      <c r="AI15" s="639"/>
      <c r="AJ15" s="639"/>
      <c r="AK15" s="639"/>
      <c r="AL15" s="639"/>
      <c r="AM15" s="639"/>
      <c r="AN15" s="639"/>
      <c r="AO15" s="639"/>
      <c r="AP15" s="639"/>
      <c r="AQ15" s="639"/>
      <c r="AR15" s="639"/>
      <c r="AS15" s="639"/>
      <c r="AT15" s="639"/>
      <c r="AU15" s="639"/>
      <c r="AV15" s="639"/>
      <c r="AW15" s="639"/>
      <c r="AX15" s="639"/>
    </row>
    <row r="16" spans="1:50" ht="39.950000000000003" customHeight="1" x14ac:dyDescent="0.25">
      <c r="A16" s="633">
        <f t="shared" ref="A16:A73" si="0">ROW(A4)</f>
        <v>4</v>
      </c>
      <c r="B16" s="634"/>
      <c r="C16" s="631"/>
      <c r="D16" s="632"/>
      <c r="E16" s="640"/>
      <c r="F16" s="641"/>
      <c r="G16" s="641"/>
      <c r="H16" s="641"/>
      <c r="I16" s="641"/>
      <c r="J16" s="641"/>
      <c r="K16" s="642"/>
      <c r="L16" s="635"/>
      <c r="M16" s="636"/>
      <c r="N16" s="636"/>
      <c r="O16" s="636"/>
      <c r="P16" s="636"/>
      <c r="Q16" s="636"/>
      <c r="R16" s="637"/>
      <c r="S16" s="643"/>
      <c r="T16" s="643"/>
      <c r="U16" s="643"/>
      <c r="V16" s="638"/>
      <c r="W16" s="638"/>
      <c r="X16" s="638"/>
      <c r="Y16" s="638"/>
      <c r="Z16" s="638"/>
      <c r="AA16" s="638"/>
      <c r="AB16" s="638"/>
      <c r="AC16" s="638"/>
      <c r="AD16" s="638"/>
      <c r="AE16" s="638"/>
      <c r="AF16" s="638"/>
      <c r="AG16" s="638"/>
      <c r="AH16" s="638"/>
      <c r="AI16" s="638"/>
      <c r="AJ16" s="638"/>
      <c r="AK16" s="638"/>
      <c r="AL16" s="638"/>
      <c r="AM16" s="638"/>
      <c r="AN16" s="638"/>
      <c r="AO16" s="638"/>
      <c r="AP16" s="638"/>
      <c r="AQ16" s="638"/>
      <c r="AR16" s="638"/>
      <c r="AS16" s="638"/>
      <c r="AT16" s="638"/>
      <c r="AU16" s="638"/>
      <c r="AV16" s="638"/>
      <c r="AW16" s="638"/>
      <c r="AX16" s="638"/>
    </row>
    <row r="17" spans="1:50" ht="39.950000000000003" customHeight="1" x14ac:dyDescent="0.25">
      <c r="A17" s="633">
        <f t="shared" si="0"/>
        <v>5</v>
      </c>
      <c r="B17" s="634"/>
      <c r="C17" s="629"/>
      <c r="D17" s="630"/>
      <c r="E17" s="640"/>
      <c r="F17" s="641"/>
      <c r="G17" s="641"/>
      <c r="H17" s="641"/>
      <c r="I17" s="641"/>
      <c r="J17" s="641"/>
      <c r="K17" s="642"/>
      <c r="L17" s="644"/>
      <c r="M17" s="645"/>
      <c r="N17" s="645"/>
      <c r="O17" s="645"/>
      <c r="P17" s="645"/>
      <c r="Q17" s="645"/>
      <c r="R17" s="646"/>
      <c r="S17" s="643"/>
      <c r="T17" s="643"/>
      <c r="U17" s="643"/>
      <c r="V17" s="639"/>
      <c r="W17" s="639"/>
      <c r="X17" s="639"/>
      <c r="Y17" s="639"/>
      <c r="Z17" s="639"/>
      <c r="AA17" s="639"/>
      <c r="AB17" s="639"/>
      <c r="AC17" s="639"/>
      <c r="AD17" s="639"/>
      <c r="AE17" s="639"/>
      <c r="AF17" s="639"/>
      <c r="AG17" s="639"/>
      <c r="AH17" s="639"/>
      <c r="AI17" s="639"/>
      <c r="AJ17" s="639"/>
      <c r="AK17" s="639"/>
      <c r="AL17" s="639"/>
      <c r="AM17" s="639"/>
      <c r="AN17" s="639"/>
      <c r="AO17" s="639"/>
      <c r="AP17" s="639"/>
      <c r="AQ17" s="639"/>
      <c r="AR17" s="639"/>
      <c r="AS17" s="639"/>
      <c r="AT17" s="639"/>
      <c r="AU17" s="639"/>
      <c r="AV17" s="639"/>
      <c r="AW17" s="639"/>
      <c r="AX17" s="639"/>
    </row>
    <row r="18" spans="1:50" ht="39.950000000000003" customHeight="1" x14ac:dyDescent="0.25">
      <c r="A18" s="633">
        <f t="shared" si="0"/>
        <v>6</v>
      </c>
      <c r="B18" s="634"/>
      <c r="C18" s="631"/>
      <c r="D18" s="632"/>
      <c r="E18" s="640"/>
      <c r="F18" s="641"/>
      <c r="G18" s="641"/>
      <c r="H18" s="641"/>
      <c r="I18" s="641"/>
      <c r="J18" s="641"/>
      <c r="K18" s="642"/>
      <c r="L18" s="635"/>
      <c r="M18" s="636"/>
      <c r="N18" s="636"/>
      <c r="O18" s="636"/>
      <c r="P18" s="636"/>
      <c r="Q18" s="636"/>
      <c r="R18" s="637"/>
      <c r="S18" s="643"/>
      <c r="T18" s="643"/>
      <c r="U18" s="643"/>
      <c r="V18" s="638"/>
      <c r="W18" s="638"/>
      <c r="X18" s="638"/>
      <c r="Y18" s="638"/>
      <c r="Z18" s="638"/>
      <c r="AA18" s="638"/>
      <c r="AB18" s="638"/>
      <c r="AC18" s="638"/>
      <c r="AD18" s="638"/>
      <c r="AE18" s="638"/>
      <c r="AF18" s="638"/>
      <c r="AG18" s="638"/>
      <c r="AH18" s="638"/>
      <c r="AI18" s="638"/>
      <c r="AJ18" s="638"/>
      <c r="AK18" s="638"/>
      <c r="AL18" s="638"/>
      <c r="AM18" s="638"/>
      <c r="AN18" s="638"/>
      <c r="AO18" s="638"/>
      <c r="AP18" s="638"/>
      <c r="AQ18" s="638"/>
      <c r="AR18" s="638"/>
      <c r="AS18" s="638"/>
      <c r="AT18" s="638"/>
      <c r="AU18" s="638"/>
      <c r="AV18" s="638"/>
      <c r="AW18" s="638"/>
      <c r="AX18" s="638"/>
    </row>
    <row r="19" spans="1:50" ht="39.950000000000003" customHeight="1" x14ac:dyDescent="0.25">
      <c r="A19" s="633">
        <f t="shared" si="0"/>
        <v>7</v>
      </c>
      <c r="B19" s="634"/>
      <c r="C19" s="629"/>
      <c r="D19" s="630"/>
      <c r="E19" s="640"/>
      <c r="F19" s="641"/>
      <c r="G19" s="641"/>
      <c r="H19" s="641"/>
      <c r="I19" s="641"/>
      <c r="J19" s="641"/>
      <c r="K19" s="642"/>
      <c r="L19" s="644"/>
      <c r="M19" s="645"/>
      <c r="N19" s="645"/>
      <c r="O19" s="645"/>
      <c r="P19" s="645"/>
      <c r="Q19" s="645"/>
      <c r="R19" s="646"/>
      <c r="S19" s="643"/>
      <c r="T19" s="643"/>
      <c r="U19" s="643"/>
      <c r="V19" s="639"/>
      <c r="W19" s="639"/>
      <c r="X19" s="639"/>
      <c r="Y19" s="639"/>
      <c r="Z19" s="639"/>
      <c r="AA19" s="639"/>
      <c r="AB19" s="639"/>
      <c r="AC19" s="639"/>
      <c r="AD19" s="639"/>
      <c r="AE19" s="639"/>
      <c r="AF19" s="639"/>
      <c r="AG19" s="639"/>
      <c r="AH19" s="639"/>
      <c r="AI19" s="639"/>
      <c r="AJ19" s="639"/>
      <c r="AK19" s="639"/>
      <c r="AL19" s="639"/>
      <c r="AM19" s="639"/>
      <c r="AN19" s="639"/>
      <c r="AO19" s="639"/>
      <c r="AP19" s="639"/>
      <c r="AQ19" s="639"/>
      <c r="AR19" s="639"/>
      <c r="AS19" s="639"/>
      <c r="AT19" s="639"/>
      <c r="AU19" s="639"/>
      <c r="AV19" s="639"/>
      <c r="AW19" s="639"/>
      <c r="AX19" s="639"/>
    </row>
    <row r="20" spans="1:50" ht="39.950000000000003" customHeight="1" x14ac:dyDescent="0.25">
      <c r="A20" s="633">
        <f t="shared" si="0"/>
        <v>8</v>
      </c>
      <c r="B20" s="634"/>
      <c r="C20" s="631"/>
      <c r="D20" s="632"/>
      <c r="E20" s="640"/>
      <c r="F20" s="641"/>
      <c r="G20" s="641"/>
      <c r="H20" s="641"/>
      <c r="I20" s="641"/>
      <c r="J20" s="641"/>
      <c r="K20" s="642"/>
      <c r="L20" s="635"/>
      <c r="M20" s="636"/>
      <c r="N20" s="636"/>
      <c r="O20" s="636"/>
      <c r="P20" s="636"/>
      <c r="Q20" s="636"/>
      <c r="R20" s="637"/>
      <c r="S20" s="643"/>
      <c r="T20" s="643"/>
      <c r="U20" s="643"/>
      <c r="V20" s="638"/>
      <c r="W20" s="638"/>
      <c r="X20" s="638"/>
      <c r="Y20" s="638"/>
      <c r="Z20" s="638"/>
      <c r="AA20" s="638"/>
      <c r="AB20" s="638"/>
      <c r="AC20" s="638"/>
      <c r="AD20" s="638"/>
      <c r="AE20" s="638"/>
      <c r="AF20" s="638"/>
      <c r="AG20" s="638"/>
      <c r="AH20" s="638"/>
      <c r="AI20" s="638"/>
      <c r="AJ20" s="638"/>
      <c r="AK20" s="638"/>
      <c r="AL20" s="638"/>
      <c r="AM20" s="638"/>
      <c r="AN20" s="638"/>
      <c r="AO20" s="638"/>
      <c r="AP20" s="638"/>
      <c r="AQ20" s="638"/>
      <c r="AR20" s="638"/>
      <c r="AS20" s="638"/>
      <c r="AT20" s="638"/>
      <c r="AU20" s="638"/>
      <c r="AV20" s="638"/>
      <c r="AW20" s="638"/>
      <c r="AX20" s="638"/>
    </row>
    <row r="21" spans="1:50" ht="39.950000000000003" customHeight="1" x14ac:dyDescent="0.25">
      <c r="A21" s="633">
        <f t="shared" si="0"/>
        <v>9</v>
      </c>
      <c r="B21" s="634"/>
      <c r="C21" s="629"/>
      <c r="D21" s="630"/>
      <c r="E21" s="640"/>
      <c r="F21" s="641"/>
      <c r="G21" s="641"/>
      <c r="H21" s="641"/>
      <c r="I21" s="641"/>
      <c r="J21" s="641"/>
      <c r="K21" s="642"/>
      <c r="L21" s="644"/>
      <c r="M21" s="645"/>
      <c r="N21" s="645"/>
      <c r="O21" s="645"/>
      <c r="P21" s="645"/>
      <c r="Q21" s="645"/>
      <c r="R21" s="646"/>
      <c r="S21" s="643"/>
      <c r="T21" s="643"/>
      <c r="U21" s="643"/>
      <c r="V21" s="639"/>
      <c r="W21" s="639"/>
      <c r="X21" s="639"/>
      <c r="Y21" s="639"/>
      <c r="Z21" s="639"/>
      <c r="AA21" s="639"/>
      <c r="AB21" s="639"/>
      <c r="AC21" s="639"/>
      <c r="AD21" s="639"/>
      <c r="AE21" s="639"/>
      <c r="AF21" s="639"/>
      <c r="AG21" s="639"/>
      <c r="AH21" s="639"/>
      <c r="AI21" s="639"/>
      <c r="AJ21" s="639"/>
      <c r="AK21" s="639"/>
      <c r="AL21" s="639"/>
      <c r="AM21" s="639"/>
      <c r="AN21" s="639"/>
      <c r="AO21" s="639"/>
      <c r="AP21" s="639"/>
      <c r="AQ21" s="639"/>
      <c r="AR21" s="639"/>
      <c r="AS21" s="639"/>
      <c r="AT21" s="639"/>
      <c r="AU21" s="639"/>
      <c r="AV21" s="639"/>
      <c r="AW21" s="639"/>
      <c r="AX21" s="639"/>
    </row>
    <row r="22" spans="1:50" ht="39.950000000000003" customHeight="1" x14ac:dyDescent="0.25">
      <c r="A22" s="633">
        <f t="shared" si="0"/>
        <v>10</v>
      </c>
      <c r="B22" s="634"/>
      <c r="C22" s="631"/>
      <c r="D22" s="632"/>
      <c r="E22" s="640"/>
      <c r="F22" s="641"/>
      <c r="G22" s="641"/>
      <c r="H22" s="641"/>
      <c r="I22" s="641"/>
      <c r="J22" s="641"/>
      <c r="K22" s="642"/>
      <c r="L22" s="635"/>
      <c r="M22" s="636"/>
      <c r="N22" s="636"/>
      <c r="O22" s="636"/>
      <c r="P22" s="636"/>
      <c r="Q22" s="636"/>
      <c r="R22" s="637"/>
      <c r="S22" s="643"/>
      <c r="T22" s="643"/>
      <c r="U22" s="643"/>
      <c r="V22" s="638"/>
      <c r="W22" s="638"/>
      <c r="X22" s="638"/>
      <c r="Y22" s="638"/>
      <c r="Z22" s="638"/>
      <c r="AA22" s="638"/>
      <c r="AB22" s="638"/>
      <c r="AC22" s="638"/>
      <c r="AD22" s="638"/>
      <c r="AE22" s="638"/>
      <c r="AF22" s="638"/>
      <c r="AG22" s="638"/>
      <c r="AH22" s="638"/>
      <c r="AI22" s="638"/>
      <c r="AJ22" s="638"/>
      <c r="AK22" s="638"/>
      <c r="AL22" s="638"/>
      <c r="AM22" s="638"/>
      <c r="AN22" s="638"/>
      <c r="AO22" s="638"/>
      <c r="AP22" s="638"/>
      <c r="AQ22" s="638"/>
      <c r="AR22" s="638"/>
      <c r="AS22" s="638"/>
      <c r="AT22" s="638"/>
      <c r="AU22" s="638"/>
      <c r="AV22" s="638"/>
      <c r="AW22" s="638"/>
      <c r="AX22" s="638"/>
    </row>
    <row r="23" spans="1:50" ht="39.950000000000003" customHeight="1" x14ac:dyDescent="0.25">
      <c r="A23" s="633">
        <f t="shared" si="0"/>
        <v>11</v>
      </c>
      <c r="B23" s="634"/>
      <c r="C23" s="629"/>
      <c r="D23" s="630"/>
      <c r="E23" s="640"/>
      <c r="F23" s="641"/>
      <c r="G23" s="641"/>
      <c r="H23" s="641"/>
      <c r="I23" s="641"/>
      <c r="J23" s="641"/>
      <c r="K23" s="642"/>
      <c r="L23" s="644"/>
      <c r="M23" s="645"/>
      <c r="N23" s="645"/>
      <c r="O23" s="645"/>
      <c r="P23" s="645"/>
      <c r="Q23" s="645"/>
      <c r="R23" s="646"/>
      <c r="S23" s="643"/>
      <c r="T23" s="643"/>
      <c r="U23" s="643"/>
      <c r="V23" s="639"/>
      <c r="W23" s="639"/>
      <c r="X23" s="639"/>
      <c r="Y23" s="639"/>
      <c r="Z23" s="639"/>
      <c r="AA23" s="639"/>
      <c r="AB23" s="639"/>
      <c r="AC23" s="639"/>
      <c r="AD23" s="639"/>
      <c r="AE23" s="639"/>
      <c r="AF23" s="639"/>
      <c r="AG23" s="639"/>
      <c r="AH23" s="639"/>
      <c r="AI23" s="639"/>
      <c r="AJ23" s="639"/>
      <c r="AK23" s="639"/>
      <c r="AL23" s="639"/>
      <c r="AM23" s="639"/>
      <c r="AN23" s="639"/>
      <c r="AO23" s="639"/>
      <c r="AP23" s="639"/>
      <c r="AQ23" s="639"/>
      <c r="AR23" s="639"/>
      <c r="AS23" s="639"/>
      <c r="AT23" s="639"/>
      <c r="AU23" s="639"/>
      <c r="AV23" s="639"/>
      <c r="AW23" s="639"/>
      <c r="AX23" s="639"/>
    </row>
    <row r="24" spans="1:50" ht="39.950000000000003" customHeight="1" x14ac:dyDescent="0.25">
      <c r="A24" s="633">
        <f t="shared" si="0"/>
        <v>12</v>
      </c>
      <c r="B24" s="634"/>
      <c r="C24" s="631"/>
      <c r="D24" s="632"/>
      <c r="E24" s="640"/>
      <c r="F24" s="641"/>
      <c r="G24" s="641"/>
      <c r="H24" s="641"/>
      <c r="I24" s="641"/>
      <c r="J24" s="641"/>
      <c r="K24" s="642"/>
      <c r="L24" s="635"/>
      <c r="M24" s="636"/>
      <c r="N24" s="636"/>
      <c r="O24" s="636"/>
      <c r="P24" s="636"/>
      <c r="Q24" s="636"/>
      <c r="R24" s="637"/>
      <c r="S24" s="643"/>
      <c r="T24" s="643"/>
      <c r="U24" s="643"/>
      <c r="V24" s="638"/>
      <c r="W24" s="638"/>
      <c r="X24" s="638"/>
      <c r="Y24" s="638"/>
      <c r="Z24" s="638"/>
      <c r="AA24" s="638"/>
      <c r="AB24" s="638"/>
      <c r="AC24" s="638"/>
      <c r="AD24" s="638"/>
      <c r="AE24" s="638"/>
      <c r="AF24" s="638"/>
      <c r="AG24" s="638"/>
      <c r="AH24" s="638"/>
      <c r="AI24" s="638"/>
      <c r="AJ24" s="638"/>
      <c r="AK24" s="638"/>
      <c r="AL24" s="638"/>
      <c r="AM24" s="638"/>
      <c r="AN24" s="638"/>
      <c r="AO24" s="638"/>
      <c r="AP24" s="638"/>
      <c r="AQ24" s="638"/>
      <c r="AR24" s="638"/>
      <c r="AS24" s="638"/>
      <c r="AT24" s="638"/>
      <c r="AU24" s="638"/>
      <c r="AV24" s="638"/>
      <c r="AW24" s="638"/>
      <c r="AX24" s="638"/>
    </row>
    <row r="25" spans="1:50" ht="39.950000000000003" customHeight="1" x14ac:dyDescent="0.25">
      <c r="A25" s="633">
        <f t="shared" si="0"/>
        <v>13</v>
      </c>
      <c r="B25" s="634"/>
      <c r="C25" s="629"/>
      <c r="D25" s="630"/>
      <c r="E25" s="640"/>
      <c r="F25" s="641"/>
      <c r="G25" s="641"/>
      <c r="H25" s="641"/>
      <c r="I25" s="641"/>
      <c r="J25" s="641"/>
      <c r="K25" s="642"/>
      <c r="L25" s="644"/>
      <c r="M25" s="645"/>
      <c r="N25" s="645"/>
      <c r="O25" s="645"/>
      <c r="P25" s="645"/>
      <c r="Q25" s="645"/>
      <c r="R25" s="646"/>
      <c r="S25" s="643"/>
      <c r="T25" s="643"/>
      <c r="U25" s="643"/>
      <c r="V25" s="639"/>
      <c r="W25" s="639"/>
      <c r="X25" s="639"/>
      <c r="Y25" s="639"/>
      <c r="Z25" s="639"/>
      <c r="AA25" s="639"/>
      <c r="AB25" s="639"/>
      <c r="AC25" s="639"/>
      <c r="AD25" s="639"/>
      <c r="AE25" s="639"/>
      <c r="AF25" s="639"/>
      <c r="AG25" s="639"/>
      <c r="AH25" s="639"/>
      <c r="AI25" s="639"/>
      <c r="AJ25" s="639"/>
      <c r="AK25" s="639"/>
      <c r="AL25" s="639"/>
      <c r="AM25" s="639"/>
      <c r="AN25" s="639"/>
      <c r="AO25" s="639"/>
      <c r="AP25" s="639"/>
      <c r="AQ25" s="639"/>
      <c r="AR25" s="639"/>
      <c r="AS25" s="639"/>
      <c r="AT25" s="639"/>
      <c r="AU25" s="639"/>
      <c r="AV25" s="639"/>
      <c r="AW25" s="639"/>
      <c r="AX25" s="639"/>
    </row>
    <row r="26" spans="1:50" ht="39.950000000000003" customHeight="1" x14ac:dyDescent="0.25">
      <c r="A26" s="633">
        <f t="shared" si="0"/>
        <v>14</v>
      </c>
      <c r="B26" s="634"/>
      <c r="C26" s="631"/>
      <c r="D26" s="632"/>
      <c r="E26" s="640"/>
      <c r="F26" s="641"/>
      <c r="G26" s="641"/>
      <c r="H26" s="641"/>
      <c r="I26" s="641"/>
      <c r="J26" s="641"/>
      <c r="K26" s="642"/>
      <c r="L26" s="635"/>
      <c r="M26" s="636"/>
      <c r="N26" s="636"/>
      <c r="O26" s="636"/>
      <c r="P26" s="636"/>
      <c r="Q26" s="636"/>
      <c r="R26" s="637"/>
      <c r="S26" s="643"/>
      <c r="T26" s="643"/>
      <c r="U26" s="643"/>
      <c r="V26" s="638"/>
      <c r="W26" s="638"/>
      <c r="X26" s="638"/>
      <c r="Y26" s="638"/>
      <c r="Z26" s="638"/>
      <c r="AA26" s="638"/>
      <c r="AB26" s="638"/>
      <c r="AC26" s="638"/>
      <c r="AD26" s="638"/>
      <c r="AE26" s="638"/>
      <c r="AF26" s="638"/>
      <c r="AG26" s="638"/>
      <c r="AH26" s="638"/>
      <c r="AI26" s="638"/>
      <c r="AJ26" s="638"/>
      <c r="AK26" s="638"/>
      <c r="AL26" s="638"/>
      <c r="AM26" s="638"/>
      <c r="AN26" s="638"/>
      <c r="AO26" s="638"/>
      <c r="AP26" s="638"/>
      <c r="AQ26" s="638"/>
      <c r="AR26" s="638"/>
      <c r="AS26" s="638"/>
      <c r="AT26" s="638"/>
      <c r="AU26" s="638"/>
      <c r="AV26" s="638"/>
      <c r="AW26" s="638"/>
      <c r="AX26" s="638"/>
    </row>
    <row r="27" spans="1:50" ht="39.950000000000003" customHeight="1" x14ac:dyDescent="0.25">
      <c r="A27" s="633">
        <f t="shared" si="0"/>
        <v>15</v>
      </c>
      <c r="B27" s="634"/>
      <c r="C27" s="629"/>
      <c r="D27" s="630"/>
      <c r="E27" s="640"/>
      <c r="F27" s="641"/>
      <c r="G27" s="641"/>
      <c r="H27" s="641"/>
      <c r="I27" s="641"/>
      <c r="J27" s="641"/>
      <c r="K27" s="642"/>
      <c r="L27" s="644"/>
      <c r="M27" s="645"/>
      <c r="N27" s="645"/>
      <c r="O27" s="645"/>
      <c r="P27" s="645"/>
      <c r="Q27" s="645"/>
      <c r="R27" s="646"/>
      <c r="S27" s="643"/>
      <c r="T27" s="643"/>
      <c r="U27" s="643"/>
      <c r="V27" s="639"/>
      <c r="W27" s="639"/>
      <c r="X27" s="639"/>
      <c r="Y27" s="639"/>
      <c r="Z27" s="639"/>
      <c r="AA27" s="639"/>
      <c r="AB27" s="639"/>
      <c r="AC27" s="639"/>
      <c r="AD27" s="639"/>
      <c r="AE27" s="639"/>
      <c r="AF27" s="639"/>
      <c r="AG27" s="639"/>
      <c r="AH27" s="639"/>
      <c r="AI27" s="639"/>
      <c r="AJ27" s="639"/>
      <c r="AK27" s="639"/>
      <c r="AL27" s="639"/>
      <c r="AM27" s="639"/>
      <c r="AN27" s="639"/>
      <c r="AO27" s="639"/>
      <c r="AP27" s="639"/>
      <c r="AQ27" s="639"/>
      <c r="AR27" s="639"/>
      <c r="AS27" s="639"/>
      <c r="AT27" s="639"/>
      <c r="AU27" s="639"/>
      <c r="AV27" s="639"/>
      <c r="AW27" s="639"/>
      <c r="AX27" s="639"/>
    </row>
    <row r="28" spans="1:50" ht="39.950000000000003" customHeight="1" x14ac:dyDescent="0.25">
      <c r="A28" s="633">
        <f t="shared" si="0"/>
        <v>16</v>
      </c>
      <c r="B28" s="634"/>
      <c r="C28" s="631"/>
      <c r="D28" s="632"/>
      <c r="E28" s="640"/>
      <c r="F28" s="641"/>
      <c r="G28" s="641"/>
      <c r="H28" s="641"/>
      <c r="I28" s="641"/>
      <c r="J28" s="641"/>
      <c r="K28" s="642"/>
      <c r="L28" s="635"/>
      <c r="M28" s="636"/>
      <c r="N28" s="636"/>
      <c r="O28" s="636"/>
      <c r="P28" s="636"/>
      <c r="Q28" s="636"/>
      <c r="R28" s="637"/>
      <c r="S28" s="643"/>
      <c r="T28" s="643"/>
      <c r="U28" s="643"/>
      <c r="V28" s="638"/>
      <c r="W28" s="638"/>
      <c r="X28" s="638"/>
      <c r="Y28" s="638"/>
      <c r="Z28" s="638"/>
      <c r="AA28" s="638"/>
      <c r="AB28" s="638"/>
      <c r="AC28" s="638"/>
      <c r="AD28" s="638"/>
      <c r="AE28" s="638"/>
      <c r="AF28" s="638"/>
      <c r="AG28" s="638"/>
      <c r="AH28" s="638"/>
      <c r="AI28" s="638"/>
      <c r="AJ28" s="638"/>
      <c r="AK28" s="638"/>
      <c r="AL28" s="638"/>
      <c r="AM28" s="638"/>
      <c r="AN28" s="638"/>
      <c r="AO28" s="638"/>
      <c r="AP28" s="638"/>
      <c r="AQ28" s="638"/>
      <c r="AR28" s="638"/>
      <c r="AS28" s="638"/>
      <c r="AT28" s="638"/>
      <c r="AU28" s="638"/>
      <c r="AV28" s="638"/>
      <c r="AW28" s="638"/>
      <c r="AX28" s="638"/>
    </row>
    <row r="29" spans="1:50" ht="39.950000000000003" customHeight="1" x14ac:dyDescent="0.25">
      <c r="A29" s="633">
        <f t="shared" si="0"/>
        <v>17</v>
      </c>
      <c r="B29" s="634"/>
      <c r="C29" s="629"/>
      <c r="D29" s="630"/>
      <c r="E29" s="640"/>
      <c r="F29" s="641"/>
      <c r="G29" s="641"/>
      <c r="H29" s="641"/>
      <c r="I29" s="641"/>
      <c r="J29" s="641"/>
      <c r="K29" s="642"/>
      <c r="L29" s="644"/>
      <c r="M29" s="645"/>
      <c r="N29" s="645"/>
      <c r="O29" s="645"/>
      <c r="P29" s="645"/>
      <c r="Q29" s="645"/>
      <c r="R29" s="646"/>
      <c r="S29" s="643"/>
      <c r="T29" s="643"/>
      <c r="U29" s="643"/>
      <c r="V29" s="639"/>
      <c r="W29" s="639"/>
      <c r="X29" s="639"/>
      <c r="Y29" s="639"/>
      <c r="Z29" s="639"/>
      <c r="AA29" s="639"/>
      <c r="AB29" s="639"/>
      <c r="AC29" s="639"/>
      <c r="AD29" s="639"/>
      <c r="AE29" s="639"/>
      <c r="AF29" s="639"/>
      <c r="AG29" s="639"/>
      <c r="AH29" s="639"/>
      <c r="AI29" s="639"/>
      <c r="AJ29" s="639"/>
      <c r="AK29" s="639"/>
      <c r="AL29" s="639"/>
      <c r="AM29" s="639"/>
      <c r="AN29" s="639"/>
      <c r="AO29" s="639"/>
      <c r="AP29" s="639"/>
      <c r="AQ29" s="639"/>
      <c r="AR29" s="639"/>
      <c r="AS29" s="639"/>
      <c r="AT29" s="639"/>
      <c r="AU29" s="639"/>
      <c r="AV29" s="639"/>
      <c r="AW29" s="639"/>
      <c r="AX29" s="639"/>
    </row>
    <row r="30" spans="1:50" ht="39.950000000000003" customHeight="1" x14ac:dyDescent="0.25">
      <c r="A30" s="633">
        <f t="shared" si="0"/>
        <v>18</v>
      </c>
      <c r="B30" s="634"/>
      <c r="C30" s="631"/>
      <c r="D30" s="632"/>
      <c r="E30" s="640"/>
      <c r="F30" s="641"/>
      <c r="G30" s="641"/>
      <c r="H30" s="641"/>
      <c r="I30" s="641"/>
      <c r="J30" s="641"/>
      <c r="K30" s="642"/>
      <c r="L30" s="635"/>
      <c r="M30" s="636"/>
      <c r="N30" s="636"/>
      <c r="O30" s="636"/>
      <c r="P30" s="636"/>
      <c r="Q30" s="636"/>
      <c r="R30" s="637"/>
      <c r="S30" s="643"/>
      <c r="T30" s="643"/>
      <c r="U30" s="643"/>
      <c r="V30" s="638"/>
      <c r="W30" s="638"/>
      <c r="X30" s="638"/>
      <c r="Y30" s="638"/>
      <c r="Z30" s="638"/>
      <c r="AA30" s="638"/>
      <c r="AB30" s="638"/>
      <c r="AC30" s="638"/>
      <c r="AD30" s="638"/>
      <c r="AE30" s="638"/>
      <c r="AF30" s="638"/>
      <c r="AG30" s="638"/>
      <c r="AH30" s="638"/>
      <c r="AI30" s="638"/>
      <c r="AJ30" s="638"/>
      <c r="AK30" s="638"/>
      <c r="AL30" s="638"/>
      <c r="AM30" s="638"/>
      <c r="AN30" s="638"/>
      <c r="AO30" s="638"/>
      <c r="AP30" s="638"/>
      <c r="AQ30" s="638"/>
      <c r="AR30" s="638"/>
      <c r="AS30" s="638"/>
      <c r="AT30" s="638"/>
      <c r="AU30" s="638"/>
      <c r="AV30" s="638"/>
      <c r="AW30" s="638"/>
      <c r="AX30" s="638"/>
    </row>
    <row r="31" spans="1:50" ht="39.950000000000003" customHeight="1" x14ac:dyDescent="0.25">
      <c r="A31" s="633">
        <f t="shared" si="0"/>
        <v>19</v>
      </c>
      <c r="B31" s="634"/>
      <c r="C31" s="629"/>
      <c r="D31" s="630"/>
      <c r="E31" s="640"/>
      <c r="F31" s="641"/>
      <c r="G31" s="641"/>
      <c r="H31" s="641"/>
      <c r="I31" s="641"/>
      <c r="J31" s="641"/>
      <c r="K31" s="642"/>
      <c r="L31" s="644"/>
      <c r="M31" s="645"/>
      <c r="N31" s="645"/>
      <c r="O31" s="645"/>
      <c r="P31" s="645"/>
      <c r="Q31" s="645"/>
      <c r="R31" s="646"/>
      <c r="S31" s="643"/>
      <c r="T31" s="643"/>
      <c r="U31" s="643"/>
      <c r="V31" s="639"/>
      <c r="W31" s="639"/>
      <c r="X31" s="639"/>
      <c r="Y31" s="639"/>
      <c r="Z31" s="639"/>
      <c r="AA31" s="639"/>
      <c r="AB31" s="639"/>
      <c r="AC31" s="639"/>
      <c r="AD31" s="639"/>
      <c r="AE31" s="639"/>
      <c r="AF31" s="639"/>
      <c r="AG31" s="639"/>
      <c r="AH31" s="639"/>
      <c r="AI31" s="639"/>
      <c r="AJ31" s="639"/>
      <c r="AK31" s="639"/>
      <c r="AL31" s="639"/>
      <c r="AM31" s="639"/>
      <c r="AN31" s="639"/>
      <c r="AO31" s="639"/>
      <c r="AP31" s="639"/>
      <c r="AQ31" s="639"/>
      <c r="AR31" s="639"/>
      <c r="AS31" s="639"/>
      <c r="AT31" s="639"/>
      <c r="AU31" s="639"/>
      <c r="AV31" s="639"/>
      <c r="AW31" s="639"/>
      <c r="AX31" s="639"/>
    </row>
    <row r="32" spans="1:50" ht="39.950000000000003" customHeight="1" x14ac:dyDescent="0.25">
      <c r="A32" s="633">
        <f t="shared" si="0"/>
        <v>20</v>
      </c>
      <c r="B32" s="634"/>
      <c r="C32" s="631"/>
      <c r="D32" s="632"/>
      <c r="E32" s="640"/>
      <c r="F32" s="641"/>
      <c r="G32" s="641"/>
      <c r="H32" s="641"/>
      <c r="I32" s="641"/>
      <c r="J32" s="641"/>
      <c r="K32" s="642"/>
      <c r="L32" s="635"/>
      <c r="M32" s="636"/>
      <c r="N32" s="636"/>
      <c r="O32" s="636"/>
      <c r="P32" s="636"/>
      <c r="Q32" s="636"/>
      <c r="R32" s="637"/>
      <c r="S32" s="643"/>
      <c r="T32" s="643"/>
      <c r="U32" s="643"/>
      <c r="V32" s="638"/>
      <c r="W32" s="638"/>
      <c r="X32" s="638"/>
      <c r="Y32" s="638"/>
      <c r="Z32" s="638"/>
      <c r="AA32" s="638"/>
      <c r="AB32" s="638"/>
      <c r="AC32" s="638"/>
      <c r="AD32" s="638"/>
      <c r="AE32" s="638"/>
      <c r="AF32" s="638"/>
      <c r="AG32" s="638"/>
      <c r="AH32" s="638"/>
      <c r="AI32" s="638"/>
      <c r="AJ32" s="638"/>
      <c r="AK32" s="638"/>
      <c r="AL32" s="638"/>
      <c r="AM32" s="638"/>
      <c r="AN32" s="638"/>
      <c r="AO32" s="638"/>
      <c r="AP32" s="638"/>
      <c r="AQ32" s="638"/>
      <c r="AR32" s="638"/>
      <c r="AS32" s="638"/>
      <c r="AT32" s="638"/>
      <c r="AU32" s="638"/>
      <c r="AV32" s="638"/>
      <c r="AW32" s="638"/>
      <c r="AX32" s="638"/>
    </row>
    <row r="33" spans="1:50" ht="39.950000000000003" customHeight="1" x14ac:dyDescent="0.25">
      <c r="A33" s="633">
        <f t="shared" si="0"/>
        <v>21</v>
      </c>
      <c r="B33" s="634"/>
      <c r="C33" s="629"/>
      <c r="D33" s="630"/>
      <c r="E33" s="640"/>
      <c r="F33" s="641"/>
      <c r="G33" s="641"/>
      <c r="H33" s="641"/>
      <c r="I33" s="641"/>
      <c r="J33" s="641"/>
      <c r="K33" s="642"/>
      <c r="L33" s="644"/>
      <c r="M33" s="645"/>
      <c r="N33" s="645"/>
      <c r="O33" s="645"/>
      <c r="P33" s="645"/>
      <c r="Q33" s="645"/>
      <c r="R33" s="646"/>
      <c r="S33" s="643"/>
      <c r="T33" s="643"/>
      <c r="U33" s="643"/>
      <c r="V33" s="639"/>
      <c r="W33" s="639"/>
      <c r="X33" s="639"/>
      <c r="Y33" s="639"/>
      <c r="Z33" s="639"/>
      <c r="AA33" s="639"/>
      <c r="AB33" s="639"/>
      <c r="AC33" s="639"/>
      <c r="AD33" s="639"/>
      <c r="AE33" s="639"/>
      <c r="AF33" s="639"/>
      <c r="AG33" s="639"/>
      <c r="AH33" s="639"/>
      <c r="AI33" s="639"/>
      <c r="AJ33" s="639"/>
      <c r="AK33" s="639"/>
      <c r="AL33" s="639"/>
      <c r="AM33" s="639"/>
      <c r="AN33" s="639"/>
      <c r="AO33" s="639"/>
      <c r="AP33" s="639"/>
      <c r="AQ33" s="639"/>
      <c r="AR33" s="639"/>
      <c r="AS33" s="639"/>
      <c r="AT33" s="639"/>
      <c r="AU33" s="639"/>
      <c r="AV33" s="639"/>
      <c r="AW33" s="639"/>
      <c r="AX33" s="639"/>
    </row>
    <row r="34" spans="1:50" ht="39.950000000000003" customHeight="1" x14ac:dyDescent="0.25">
      <c r="A34" s="633">
        <f t="shared" si="0"/>
        <v>22</v>
      </c>
      <c r="B34" s="634"/>
      <c r="C34" s="631"/>
      <c r="D34" s="632"/>
      <c r="E34" s="640"/>
      <c r="F34" s="641"/>
      <c r="G34" s="641"/>
      <c r="H34" s="641"/>
      <c r="I34" s="641"/>
      <c r="J34" s="641"/>
      <c r="K34" s="642"/>
      <c r="L34" s="635"/>
      <c r="M34" s="636"/>
      <c r="N34" s="636"/>
      <c r="O34" s="636"/>
      <c r="P34" s="636"/>
      <c r="Q34" s="636"/>
      <c r="R34" s="637"/>
      <c r="S34" s="643"/>
      <c r="T34" s="643"/>
      <c r="U34" s="643"/>
      <c r="V34" s="638"/>
      <c r="W34" s="638"/>
      <c r="X34" s="638"/>
      <c r="Y34" s="638"/>
      <c r="Z34" s="638"/>
      <c r="AA34" s="638"/>
      <c r="AB34" s="638"/>
      <c r="AC34" s="638"/>
      <c r="AD34" s="638"/>
      <c r="AE34" s="638"/>
      <c r="AF34" s="638"/>
      <c r="AG34" s="638"/>
      <c r="AH34" s="638"/>
      <c r="AI34" s="638"/>
      <c r="AJ34" s="638"/>
      <c r="AK34" s="638"/>
      <c r="AL34" s="638"/>
      <c r="AM34" s="638"/>
      <c r="AN34" s="638"/>
      <c r="AO34" s="638"/>
      <c r="AP34" s="638"/>
      <c r="AQ34" s="638"/>
      <c r="AR34" s="638"/>
      <c r="AS34" s="638"/>
      <c r="AT34" s="638"/>
      <c r="AU34" s="638"/>
      <c r="AV34" s="638"/>
      <c r="AW34" s="638"/>
      <c r="AX34" s="638"/>
    </row>
    <row r="35" spans="1:50" ht="39.950000000000003" customHeight="1" x14ac:dyDescent="0.25">
      <c r="A35" s="633">
        <f t="shared" si="0"/>
        <v>23</v>
      </c>
      <c r="B35" s="634"/>
      <c r="C35" s="629"/>
      <c r="D35" s="630"/>
      <c r="E35" s="640"/>
      <c r="F35" s="641"/>
      <c r="G35" s="641"/>
      <c r="H35" s="641"/>
      <c r="I35" s="641"/>
      <c r="J35" s="641"/>
      <c r="K35" s="642"/>
      <c r="L35" s="644"/>
      <c r="M35" s="645"/>
      <c r="N35" s="645"/>
      <c r="O35" s="645"/>
      <c r="P35" s="645"/>
      <c r="Q35" s="645"/>
      <c r="R35" s="646"/>
      <c r="S35" s="643"/>
      <c r="T35" s="643"/>
      <c r="U35" s="643"/>
      <c r="V35" s="639"/>
      <c r="W35" s="639"/>
      <c r="X35" s="639"/>
      <c r="Y35" s="639"/>
      <c r="Z35" s="639"/>
      <c r="AA35" s="639"/>
      <c r="AB35" s="639"/>
      <c r="AC35" s="639"/>
      <c r="AD35" s="639"/>
      <c r="AE35" s="639"/>
      <c r="AF35" s="639"/>
      <c r="AG35" s="639"/>
      <c r="AH35" s="639"/>
      <c r="AI35" s="639"/>
      <c r="AJ35" s="639"/>
      <c r="AK35" s="639"/>
      <c r="AL35" s="639"/>
      <c r="AM35" s="639"/>
      <c r="AN35" s="639"/>
      <c r="AO35" s="639"/>
      <c r="AP35" s="639"/>
      <c r="AQ35" s="639"/>
      <c r="AR35" s="639"/>
      <c r="AS35" s="639"/>
      <c r="AT35" s="639"/>
      <c r="AU35" s="639"/>
      <c r="AV35" s="639"/>
      <c r="AW35" s="639"/>
      <c r="AX35" s="639"/>
    </row>
    <row r="36" spans="1:50" ht="39.950000000000003" customHeight="1" x14ac:dyDescent="0.25">
      <c r="A36" s="633">
        <f t="shared" si="0"/>
        <v>24</v>
      </c>
      <c r="B36" s="634"/>
      <c r="C36" s="631"/>
      <c r="D36" s="632"/>
      <c r="E36" s="640"/>
      <c r="F36" s="641"/>
      <c r="G36" s="641"/>
      <c r="H36" s="641"/>
      <c r="I36" s="641"/>
      <c r="J36" s="641"/>
      <c r="K36" s="642"/>
      <c r="L36" s="635"/>
      <c r="M36" s="636"/>
      <c r="N36" s="636"/>
      <c r="O36" s="636"/>
      <c r="P36" s="636"/>
      <c r="Q36" s="636"/>
      <c r="R36" s="637"/>
      <c r="S36" s="643"/>
      <c r="T36" s="643"/>
      <c r="U36" s="643"/>
      <c r="V36" s="638"/>
      <c r="W36" s="638"/>
      <c r="X36" s="638"/>
      <c r="Y36" s="638"/>
      <c r="Z36" s="638"/>
      <c r="AA36" s="638"/>
      <c r="AB36" s="638"/>
      <c r="AC36" s="638"/>
      <c r="AD36" s="638"/>
      <c r="AE36" s="638"/>
      <c r="AF36" s="638"/>
      <c r="AG36" s="638"/>
      <c r="AH36" s="638"/>
      <c r="AI36" s="638"/>
      <c r="AJ36" s="638"/>
      <c r="AK36" s="638"/>
      <c r="AL36" s="638"/>
      <c r="AM36" s="638"/>
      <c r="AN36" s="638"/>
      <c r="AO36" s="638"/>
      <c r="AP36" s="638"/>
      <c r="AQ36" s="638"/>
      <c r="AR36" s="638"/>
      <c r="AS36" s="638"/>
      <c r="AT36" s="638"/>
      <c r="AU36" s="638"/>
      <c r="AV36" s="638"/>
      <c r="AW36" s="638"/>
      <c r="AX36" s="638"/>
    </row>
    <row r="37" spans="1:50" ht="39.950000000000003" customHeight="1" x14ac:dyDescent="0.25">
      <c r="A37" s="633">
        <f t="shared" si="0"/>
        <v>25</v>
      </c>
      <c r="B37" s="634"/>
      <c r="C37" s="629"/>
      <c r="D37" s="630"/>
      <c r="E37" s="640"/>
      <c r="F37" s="641"/>
      <c r="G37" s="641"/>
      <c r="H37" s="641"/>
      <c r="I37" s="641"/>
      <c r="J37" s="641"/>
      <c r="K37" s="642"/>
      <c r="L37" s="644"/>
      <c r="M37" s="645"/>
      <c r="N37" s="645"/>
      <c r="O37" s="645"/>
      <c r="P37" s="645"/>
      <c r="Q37" s="645"/>
      <c r="R37" s="646"/>
      <c r="S37" s="643"/>
      <c r="T37" s="643"/>
      <c r="U37" s="643"/>
      <c r="V37" s="639"/>
      <c r="W37" s="639"/>
      <c r="X37" s="639"/>
      <c r="Y37" s="639"/>
      <c r="Z37" s="639"/>
      <c r="AA37" s="639"/>
      <c r="AB37" s="639"/>
      <c r="AC37" s="639"/>
      <c r="AD37" s="639"/>
      <c r="AE37" s="639"/>
      <c r="AF37" s="639"/>
      <c r="AG37" s="639"/>
      <c r="AH37" s="639"/>
      <c r="AI37" s="639"/>
      <c r="AJ37" s="639"/>
      <c r="AK37" s="639"/>
      <c r="AL37" s="639"/>
      <c r="AM37" s="639"/>
      <c r="AN37" s="639"/>
      <c r="AO37" s="639"/>
      <c r="AP37" s="639"/>
      <c r="AQ37" s="639"/>
      <c r="AR37" s="639"/>
      <c r="AS37" s="639"/>
      <c r="AT37" s="639"/>
      <c r="AU37" s="639"/>
      <c r="AV37" s="639"/>
      <c r="AW37" s="639"/>
      <c r="AX37" s="639"/>
    </row>
    <row r="38" spans="1:50" ht="39.950000000000003" customHeight="1" x14ac:dyDescent="0.25">
      <c r="A38" s="633">
        <f t="shared" si="0"/>
        <v>26</v>
      </c>
      <c r="B38" s="634"/>
      <c r="C38" s="631"/>
      <c r="D38" s="632"/>
      <c r="E38" s="640"/>
      <c r="F38" s="641"/>
      <c r="G38" s="641"/>
      <c r="H38" s="641"/>
      <c r="I38" s="641"/>
      <c r="J38" s="641"/>
      <c r="K38" s="642"/>
      <c r="L38" s="635"/>
      <c r="M38" s="636"/>
      <c r="N38" s="636"/>
      <c r="O38" s="636"/>
      <c r="P38" s="636"/>
      <c r="Q38" s="636"/>
      <c r="R38" s="637"/>
      <c r="S38" s="643"/>
      <c r="T38" s="643"/>
      <c r="U38" s="643"/>
      <c r="V38" s="638"/>
      <c r="W38" s="638"/>
      <c r="X38" s="638"/>
      <c r="Y38" s="638"/>
      <c r="Z38" s="638"/>
      <c r="AA38" s="638"/>
      <c r="AB38" s="638"/>
      <c r="AC38" s="638"/>
      <c r="AD38" s="638"/>
      <c r="AE38" s="638"/>
      <c r="AF38" s="638"/>
      <c r="AG38" s="638"/>
      <c r="AH38" s="638"/>
      <c r="AI38" s="638"/>
      <c r="AJ38" s="638"/>
      <c r="AK38" s="638"/>
      <c r="AL38" s="638"/>
      <c r="AM38" s="638"/>
      <c r="AN38" s="638"/>
      <c r="AO38" s="638"/>
      <c r="AP38" s="638"/>
      <c r="AQ38" s="638"/>
      <c r="AR38" s="638"/>
      <c r="AS38" s="638"/>
      <c r="AT38" s="638"/>
      <c r="AU38" s="638"/>
      <c r="AV38" s="638"/>
      <c r="AW38" s="638"/>
      <c r="AX38" s="638"/>
    </row>
    <row r="39" spans="1:50" ht="39.950000000000003" customHeight="1" x14ac:dyDescent="0.25">
      <c r="A39" s="633">
        <f t="shared" si="0"/>
        <v>27</v>
      </c>
      <c r="B39" s="634"/>
      <c r="C39" s="629"/>
      <c r="D39" s="630"/>
      <c r="E39" s="640"/>
      <c r="F39" s="641"/>
      <c r="G39" s="641"/>
      <c r="H39" s="641"/>
      <c r="I39" s="641"/>
      <c r="J39" s="641"/>
      <c r="K39" s="642"/>
      <c r="L39" s="644"/>
      <c r="M39" s="645"/>
      <c r="N39" s="645"/>
      <c r="O39" s="645"/>
      <c r="P39" s="645"/>
      <c r="Q39" s="645"/>
      <c r="R39" s="646"/>
      <c r="S39" s="643"/>
      <c r="T39" s="643"/>
      <c r="U39" s="643"/>
      <c r="V39" s="639"/>
      <c r="W39" s="639"/>
      <c r="X39" s="639"/>
      <c r="Y39" s="639"/>
      <c r="Z39" s="639"/>
      <c r="AA39" s="639"/>
      <c r="AB39" s="639"/>
      <c r="AC39" s="639"/>
      <c r="AD39" s="639"/>
      <c r="AE39" s="639"/>
      <c r="AF39" s="639"/>
      <c r="AG39" s="639"/>
      <c r="AH39" s="639"/>
      <c r="AI39" s="639"/>
      <c r="AJ39" s="639"/>
      <c r="AK39" s="639"/>
      <c r="AL39" s="639"/>
      <c r="AM39" s="639"/>
      <c r="AN39" s="639"/>
      <c r="AO39" s="639"/>
      <c r="AP39" s="639"/>
      <c r="AQ39" s="639"/>
      <c r="AR39" s="639"/>
      <c r="AS39" s="639"/>
      <c r="AT39" s="639"/>
      <c r="AU39" s="639"/>
      <c r="AV39" s="639"/>
      <c r="AW39" s="639"/>
      <c r="AX39" s="639"/>
    </row>
    <row r="40" spans="1:50" ht="39.950000000000003" customHeight="1" x14ac:dyDescent="0.25">
      <c r="A40" s="633">
        <f t="shared" si="0"/>
        <v>28</v>
      </c>
      <c r="B40" s="634"/>
      <c r="C40" s="631"/>
      <c r="D40" s="632"/>
      <c r="E40" s="640"/>
      <c r="F40" s="641"/>
      <c r="G40" s="641"/>
      <c r="H40" s="641"/>
      <c r="I40" s="641"/>
      <c r="J40" s="641"/>
      <c r="K40" s="642"/>
      <c r="L40" s="635"/>
      <c r="M40" s="636"/>
      <c r="N40" s="636"/>
      <c r="O40" s="636"/>
      <c r="P40" s="636"/>
      <c r="Q40" s="636"/>
      <c r="R40" s="637"/>
      <c r="S40" s="643"/>
      <c r="T40" s="643"/>
      <c r="U40" s="643"/>
      <c r="V40" s="638"/>
      <c r="W40" s="638"/>
      <c r="X40" s="638"/>
      <c r="Y40" s="638"/>
      <c r="Z40" s="638"/>
      <c r="AA40" s="638"/>
      <c r="AB40" s="638"/>
      <c r="AC40" s="638"/>
      <c r="AD40" s="638"/>
      <c r="AE40" s="638"/>
      <c r="AF40" s="638"/>
      <c r="AG40" s="638"/>
      <c r="AH40" s="638"/>
      <c r="AI40" s="638"/>
      <c r="AJ40" s="638"/>
      <c r="AK40" s="638"/>
      <c r="AL40" s="638"/>
      <c r="AM40" s="638"/>
      <c r="AN40" s="638"/>
      <c r="AO40" s="638"/>
      <c r="AP40" s="638"/>
      <c r="AQ40" s="638"/>
      <c r="AR40" s="638"/>
      <c r="AS40" s="638"/>
      <c r="AT40" s="638"/>
      <c r="AU40" s="638"/>
      <c r="AV40" s="638"/>
      <c r="AW40" s="638"/>
      <c r="AX40" s="638"/>
    </row>
    <row r="41" spans="1:50" ht="39.950000000000003" customHeight="1" x14ac:dyDescent="0.25">
      <c r="A41" s="633">
        <f t="shared" si="0"/>
        <v>29</v>
      </c>
      <c r="B41" s="634"/>
      <c r="C41" s="629"/>
      <c r="D41" s="630"/>
      <c r="E41" s="640"/>
      <c r="F41" s="641"/>
      <c r="G41" s="641"/>
      <c r="H41" s="641"/>
      <c r="I41" s="641"/>
      <c r="J41" s="641"/>
      <c r="K41" s="642"/>
      <c r="L41" s="644"/>
      <c r="M41" s="645"/>
      <c r="N41" s="645"/>
      <c r="O41" s="645"/>
      <c r="P41" s="645"/>
      <c r="Q41" s="645"/>
      <c r="R41" s="646"/>
      <c r="S41" s="643"/>
      <c r="T41" s="643"/>
      <c r="U41" s="643"/>
      <c r="V41" s="639"/>
      <c r="W41" s="639"/>
      <c r="X41" s="639"/>
      <c r="Y41" s="639"/>
      <c r="Z41" s="639"/>
      <c r="AA41" s="639"/>
      <c r="AB41" s="639"/>
      <c r="AC41" s="639"/>
      <c r="AD41" s="639"/>
      <c r="AE41" s="639"/>
      <c r="AF41" s="639"/>
      <c r="AG41" s="639"/>
      <c r="AH41" s="639"/>
      <c r="AI41" s="639"/>
      <c r="AJ41" s="639"/>
      <c r="AK41" s="639"/>
      <c r="AL41" s="639"/>
      <c r="AM41" s="639"/>
      <c r="AN41" s="639"/>
      <c r="AO41" s="639"/>
      <c r="AP41" s="639"/>
      <c r="AQ41" s="639"/>
      <c r="AR41" s="639"/>
      <c r="AS41" s="639"/>
      <c r="AT41" s="639"/>
      <c r="AU41" s="639"/>
      <c r="AV41" s="639"/>
      <c r="AW41" s="639"/>
      <c r="AX41" s="639"/>
    </row>
    <row r="42" spans="1:50" ht="39.950000000000003" customHeight="1" x14ac:dyDescent="0.25">
      <c r="A42" s="633">
        <f t="shared" si="0"/>
        <v>30</v>
      </c>
      <c r="B42" s="634"/>
      <c r="C42" s="631"/>
      <c r="D42" s="632"/>
      <c r="E42" s="640"/>
      <c r="F42" s="641"/>
      <c r="G42" s="641"/>
      <c r="H42" s="641"/>
      <c r="I42" s="641"/>
      <c r="J42" s="641"/>
      <c r="K42" s="642"/>
      <c r="L42" s="635"/>
      <c r="M42" s="636"/>
      <c r="N42" s="636"/>
      <c r="O42" s="636"/>
      <c r="P42" s="636"/>
      <c r="Q42" s="636"/>
      <c r="R42" s="637"/>
      <c r="S42" s="643"/>
      <c r="T42" s="643"/>
      <c r="U42" s="643"/>
      <c r="V42" s="638"/>
      <c r="W42" s="638"/>
      <c r="X42" s="638"/>
      <c r="Y42" s="638"/>
      <c r="Z42" s="638"/>
      <c r="AA42" s="638"/>
      <c r="AB42" s="638"/>
      <c r="AC42" s="638"/>
      <c r="AD42" s="638"/>
      <c r="AE42" s="638"/>
      <c r="AF42" s="638"/>
      <c r="AG42" s="638"/>
      <c r="AH42" s="638"/>
      <c r="AI42" s="638"/>
      <c r="AJ42" s="638"/>
      <c r="AK42" s="638"/>
      <c r="AL42" s="638"/>
      <c r="AM42" s="638"/>
      <c r="AN42" s="638"/>
      <c r="AO42" s="638"/>
      <c r="AP42" s="638"/>
      <c r="AQ42" s="638"/>
      <c r="AR42" s="638"/>
      <c r="AS42" s="638"/>
      <c r="AT42" s="638"/>
      <c r="AU42" s="638"/>
      <c r="AV42" s="638"/>
      <c r="AW42" s="638"/>
      <c r="AX42" s="638"/>
    </row>
    <row r="43" spans="1:50" ht="39.950000000000003" customHeight="1" x14ac:dyDescent="0.25">
      <c r="A43" s="633">
        <f t="shared" si="0"/>
        <v>31</v>
      </c>
      <c r="B43" s="634"/>
      <c r="C43" s="629"/>
      <c r="D43" s="630"/>
      <c r="E43" s="640"/>
      <c r="F43" s="641"/>
      <c r="G43" s="641"/>
      <c r="H43" s="641"/>
      <c r="I43" s="641"/>
      <c r="J43" s="641"/>
      <c r="K43" s="642"/>
      <c r="L43" s="644"/>
      <c r="M43" s="645"/>
      <c r="N43" s="645"/>
      <c r="O43" s="645"/>
      <c r="P43" s="645"/>
      <c r="Q43" s="645"/>
      <c r="R43" s="646"/>
      <c r="S43" s="643"/>
      <c r="T43" s="643"/>
      <c r="U43" s="643"/>
      <c r="V43" s="639"/>
      <c r="W43" s="639"/>
      <c r="X43" s="639"/>
      <c r="Y43" s="639"/>
      <c r="Z43" s="639"/>
      <c r="AA43" s="639"/>
      <c r="AB43" s="639"/>
      <c r="AC43" s="639"/>
      <c r="AD43" s="639"/>
      <c r="AE43" s="639"/>
      <c r="AF43" s="639"/>
      <c r="AG43" s="639"/>
      <c r="AH43" s="639"/>
      <c r="AI43" s="639"/>
      <c r="AJ43" s="639"/>
      <c r="AK43" s="639"/>
      <c r="AL43" s="639"/>
      <c r="AM43" s="639"/>
      <c r="AN43" s="639"/>
      <c r="AO43" s="639"/>
      <c r="AP43" s="639"/>
      <c r="AQ43" s="639"/>
      <c r="AR43" s="639"/>
      <c r="AS43" s="639"/>
      <c r="AT43" s="639"/>
      <c r="AU43" s="639"/>
      <c r="AV43" s="639"/>
      <c r="AW43" s="639"/>
      <c r="AX43" s="639"/>
    </row>
    <row r="44" spans="1:50" ht="39.950000000000003" customHeight="1" x14ac:dyDescent="0.25">
      <c r="A44" s="633">
        <f>ROW(A32)</f>
        <v>32</v>
      </c>
      <c r="B44" s="634"/>
      <c r="C44" s="631"/>
      <c r="D44" s="632"/>
      <c r="E44" s="640"/>
      <c r="F44" s="641"/>
      <c r="G44" s="641"/>
      <c r="H44" s="641"/>
      <c r="I44" s="641"/>
      <c r="J44" s="641"/>
      <c r="K44" s="642"/>
      <c r="L44" s="635"/>
      <c r="M44" s="636"/>
      <c r="N44" s="636"/>
      <c r="O44" s="636"/>
      <c r="P44" s="636"/>
      <c r="Q44" s="636"/>
      <c r="R44" s="637"/>
      <c r="S44" s="643"/>
      <c r="T44" s="643"/>
      <c r="U44" s="643"/>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row>
    <row r="45" spans="1:50" ht="39.950000000000003" customHeight="1" x14ac:dyDescent="0.25">
      <c r="A45" s="633">
        <f t="shared" si="0"/>
        <v>33</v>
      </c>
      <c r="B45" s="634"/>
      <c r="C45" s="629"/>
      <c r="D45" s="630"/>
      <c r="E45" s="640"/>
      <c r="F45" s="641"/>
      <c r="G45" s="641"/>
      <c r="H45" s="641"/>
      <c r="I45" s="641"/>
      <c r="J45" s="641"/>
      <c r="K45" s="642"/>
      <c r="L45" s="644"/>
      <c r="M45" s="645"/>
      <c r="N45" s="645"/>
      <c r="O45" s="645"/>
      <c r="P45" s="645"/>
      <c r="Q45" s="645"/>
      <c r="R45" s="646"/>
      <c r="S45" s="643"/>
      <c r="T45" s="643"/>
      <c r="U45" s="643"/>
      <c r="V45" s="639"/>
      <c r="W45" s="639"/>
      <c r="X45" s="639"/>
      <c r="Y45" s="639"/>
      <c r="Z45" s="639"/>
      <c r="AA45" s="639"/>
      <c r="AB45" s="639"/>
      <c r="AC45" s="639"/>
      <c r="AD45" s="639"/>
      <c r="AE45" s="639"/>
      <c r="AF45" s="639"/>
      <c r="AG45" s="639"/>
      <c r="AH45" s="639"/>
      <c r="AI45" s="639"/>
      <c r="AJ45" s="639"/>
      <c r="AK45" s="639"/>
      <c r="AL45" s="639"/>
      <c r="AM45" s="639"/>
      <c r="AN45" s="639"/>
      <c r="AO45" s="639"/>
      <c r="AP45" s="639"/>
      <c r="AQ45" s="639"/>
      <c r="AR45" s="639"/>
      <c r="AS45" s="639"/>
      <c r="AT45" s="639"/>
      <c r="AU45" s="639"/>
      <c r="AV45" s="639"/>
      <c r="AW45" s="639"/>
      <c r="AX45" s="639"/>
    </row>
    <row r="46" spans="1:50" ht="39.950000000000003" customHeight="1" x14ac:dyDescent="0.25">
      <c r="A46" s="633">
        <f t="shared" si="0"/>
        <v>34</v>
      </c>
      <c r="B46" s="634"/>
      <c r="C46" s="631"/>
      <c r="D46" s="632"/>
      <c r="E46" s="640"/>
      <c r="F46" s="641"/>
      <c r="G46" s="641"/>
      <c r="H46" s="641"/>
      <c r="I46" s="641"/>
      <c r="J46" s="641"/>
      <c r="K46" s="642"/>
      <c r="L46" s="635"/>
      <c r="M46" s="636"/>
      <c r="N46" s="636"/>
      <c r="O46" s="636"/>
      <c r="P46" s="636"/>
      <c r="Q46" s="636"/>
      <c r="R46" s="637"/>
      <c r="S46" s="643"/>
      <c r="T46" s="643"/>
      <c r="U46" s="643"/>
      <c r="V46" s="638"/>
      <c r="W46" s="638"/>
      <c r="X46" s="638"/>
      <c r="Y46" s="638"/>
      <c r="Z46" s="638"/>
      <c r="AA46" s="638"/>
      <c r="AB46" s="638"/>
      <c r="AC46" s="638"/>
      <c r="AD46" s="638"/>
      <c r="AE46" s="638"/>
      <c r="AF46" s="638"/>
      <c r="AG46" s="638"/>
      <c r="AH46" s="638"/>
      <c r="AI46" s="638"/>
      <c r="AJ46" s="638"/>
      <c r="AK46" s="638"/>
      <c r="AL46" s="638"/>
      <c r="AM46" s="638"/>
      <c r="AN46" s="638"/>
      <c r="AO46" s="638"/>
      <c r="AP46" s="638"/>
      <c r="AQ46" s="638"/>
      <c r="AR46" s="638"/>
      <c r="AS46" s="638"/>
      <c r="AT46" s="638"/>
      <c r="AU46" s="638"/>
      <c r="AV46" s="638"/>
      <c r="AW46" s="638"/>
      <c r="AX46" s="638"/>
    </row>
    <row r="47" spans="1:50" ht="39.950000000000003" customHeight="1" x14ac:dyDescent="0.25">
      <c r="A47" s="633">
        <f t="shared" si="0"/>
        <v>35</v>
      </c>
      <c r="B47" s="634"/>
      <c r="C47" s="629"/>
      <c r="D47" s="630"/>
      <c r="E47" s="640"/>
      <c r="F47" s="641"/>
      <c r="G47" s="641"/>
      <c r="H47" s="641"/>
      <c r="I47" s="641"/>
      <c r="J47" s="641"/>
      <c r="K47" s="642"/>
      <c r="L47" s="644"/>
      <c r="M47" s="645"/>
      <c r="N47" s="645"/>
      <c r="O47" s="645"/>
      <c r="P47" s="645"/>
      <c r="Q47" s="645"/>
      <c r="R47" s="646"/>
      <c r="S47" s="643"/>
      <c r="T47" s="643"/>
      <c r="U47" s="643"/>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row>
    <row r="48" spans="1:50" ht="39.950000000000003" customHeight="1" x14ac:dyDescent="0.25">
      <c r="A48" s="633">
        <f t="shared" si="0"/>
        <v>36</v>
      </c>
      <c r="B48" s="634"/>
      <c r="C48" s="631"/>
      <c r="D48" s="632"/>
      <c r="E48" s="640"/>
      <c r="F48" s="641"/>
      <c r="G48" s="641"/>
      <c r="H48" s="641"/>
      <c r="I48" s="641"/>
      <c r="J48" s="641"/>
      <c r="K48" s="642"/>
      <c r="L48" s="635"/>
      <c r="M48" s="636"/>
      <c r="N48" s="636"/>
      <c r="O48" s="636"/>
      <c r="P48" s="636"/>
      <c r="Q48" s="636"/>
      <c r="R48" s="637"/>
      <c r="S48" s="643"/>
      <c r="T48" s="643"/>
      <c r="U48" s="643"/>
      <c r="V48" s="638"/>
      <c r="W48" s="638"/>
      <c r="X48" s="638"/>
      <c r="Y48" s="638"/>
      <c r="Z48" s="638"/>
      <c r="AA48" s="638"/>
      <c r="AB48" s="638"/>
      <c r="AC48" s="638"/>
      <c r="AD48" s="638"/>
      <c r="AE48" s="638"/>
      <c r="AF48" s="638"/>
      <c r="AG48" s="638"/>
      <c r="AH48" s="638"/>
      <c r="AI48" s="638"/>
      <c r="AJ48" s="638"/>
      <c r="AK48" s="638"/>
      <c r="AL48" s="638"/>
      <c r="AM48" s="638"/>
      <c r="AN48" s="638"/>
      <c r="AO48" s="638"/>
      <c r="AP48" s="638"/>
      <c r="AQ48" s="638"/>
      <c r="AR48" s="638"/>
      <c r="AS48" s="638"/>
      <c r="AT48" s="638"/>
      <c r="AU48" s="638"/>
      <c r="AV48" s="638"/>
      <c r="AW48" s="638"/>
      <c r="AX48" s="638"/>
    </row>
    <row r="49" spans="1:50" ht="39.950000000000003" customHeight="1" x14ac:dyDescent="0.25">
      <c r="A49" s="633">
        <f t="shared" si="0"/>
        <v>37</v>
      </c>
      <c r="B49" s="634"/>
      <c r="C49" s="629"/>
      <c r="D49" s="630"/>
      <c r="E49" s="640"/>
      <c r="F49" s="641"/>
      <c r="G49" s="641"/>
      <c r="H49" s="641"/>
      <c r="I49" s="641"/>
      <c r="J49" s="641"/>
      <c r="K49" s="642"/>
      <c r="L49" s="644"/>
      <c r="M49" s="645"/>
      <c r="N49" s="645"/>
      <c r="O49" s="645"/>
      <c r="P49" s="645"/>
      <c r="Q49" s="645"/>
      <c r="R49" s="646"/>
      <c r="S49" s="643"/>
      <c r="T49" s="643"/>
      <c r="U49" s="643"/>
      <c r="V49" s="639"/>
      <c r="W49" s="639"/>
      <c r="X49" s="639"/>
      <c r="Y49" s="639"/>
      <c r="Z49" s="639"/>
      <c r="AA49" s="639"/>
      <c r="AB49" s="639"/>
      <c r="AC49" s="639"/>
      <c r="AD49" s="639"/>
      <c r="AE49" s="639"/>
      <c r="AF49" s="639"/>
      <c r="AG49" s="639"/>
      <c r="AH49" s="639"/>
      <c r="AI49" s="639"/>
      <c r="AJ49" s="639"/>
      <c r="AK49" s="639"/>
      <c r="AL49" s="639"/>
      <c r="AM49" s="639"/>
      <c r="AN49" s="639"/>
      <c r="AO49" s="639"/>
      <c r="AP49" s="639"/>
      <c r="AQ49" s="639"/>
      <c r="AR49" s="639"/>
      <c r="AS49" s="639"/>
      <c r="AT49" s="639"/>
      <c r="AU49" s="639"/>
      <c r="AV49" s="639"/>
      <c r="AW49" s="639"/>
      <c r="AX49" s="639"/>
    </row>
    <row r="50" spans="1:50" ht="39.950000000000003" customHeight="1" x14ac:dyDescent="0.25">
      <c r="A50" s="633">
        <f t="shared" si="0"/>
        <v>38</v>
      </c>
      <c r="B50" s="634"/>
      <c r="C50" s="631"/>
      <c r="D50" s="632"/>
      <c r="E50" s="640"/>
      <c r="F50" s="641"/>
      <c r="G50" s="641"/>
      <c r="H50" s="641"/>
      <c r="I50" s="641"/>
      <c r="J50" s="641"/>
      <c r="K50" s="642"/>
      <c r="L50" s="635"/>
      <c r="M50" s="636"/>
      <c r="N50" s="636"/>
      <c r="O50" s="636"/>
      <c r="P50" s="636"/>
      <c r="Q50" s="636"/>
      <c r="R50" s="637"/>
      <c r="S50" s="643"/>
      <c r="T50" s="643"/>
      <c r="U50" s="643"/>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row>
    <row r="51" spans="1:50" ht="39.950000000000003" customHeight="1" x14ac:dyDescent="0.25">
      <c r="A51" s="633">
        <f t="shared" si="0"/>
        <v>39</v>
      </c>
      <c r="B51" s="634"/>
      <c r="C51" s="629"/>
      <c r="D51" s="630"/>
      <c r="E51" s="640"/>
      <c r="F51" s="641"/>
      <c r="G51" s="641"/>
      <c r="H51" s="641"/>
      <c r="I51" s="641"/>
      <c r="J51" s="641"/>
      <c r="K51" s="642"/>
      <c r="L51" s="644"/>
      <c r="M51" s="645"/>
      <c r="N51" s="645"/>
      <c r="O51" s="645"/>
      <c r="P51" s="645"/>
      <c r="Q51" s="645"/>
      <c r="R51" s="646"/>
      <c r="S51" s="643"/>
      <c r="T51" s="643"/>
      <c r="U51" s="643"/>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row>
    <row r="52" spans="1:50" ht="39.950000000000003" customHeight="1" x14ac:dyDescent="0.25">
      <c r="A52" s="633">
        <f t="shared" si="0"/>
        <v>40</v>
      </c>
      <c r="B52" s="634"/>
      <c r="C52" s="631"/>
      <c r="D52" s="632"/>
      <c r="E52" s="640"/>
      <c r="F52" s="641"/>
      <c r="G52" s="641"/>
      <c r="H52" s="641"/>
      <c r="I52" s="641"/>
      <c r="J52" s="641"/>
      <c r="K52" s="642"/>
      <c r="L52" s="635"/>
      <c r="M52" s="636"/>
      <c r="N52" s="636"/>
      <c r="O52" s="636"/>
      <c r="P52" s="636"/>
      <c r="Q52" s="636"/>
      <c r="R52" s="637"/>
      <c r="S52" s="643"/>
      <c r="T52" s="643"/>
      <c r="U52" s="643"/>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row>
    <row r="53" spans="1:50" ht="39.950000000000003" customHeight="1" x14ac:dyDescent="0.25">
      <c r="A53" s="633">
        <f t="shared" si="0"/>
        <v>41</v>
      </c>
      <c r="B53" s="634"/>
      <c r="C53" s="629"/>
      <c r="D53" s="630"/>
      <c r="E53" s="640"/>
      <c r="F53" s="641"/>
      <c r="G53" s="641"/>
      <c r="H53" s="641"/>
      <c r="I53" s="641"/>
      <c r="J53" s="641"/>
      <c r="K53" s="642"/>
      <c r="L53" s="644"/>
      <c r="M53" s="645"/>
      <c r="N53" s="645"/>
      <c r="O53" s="645"/>
      <c r="P53" s="645"/>
      <c r="Q53" s="645"/>
      <c r="R53" s="646"/>
      <c r="S53" s="643"/>
      <c r="T53" s="643"/>
      <c r="U53" s="643"/>
      <c r="V53" s="639"/>
      <c r="W53" s="639"/>
      <c r="X53" s="639"/>
      <c r="Y53" s="639"/>
      <c r="Z53" s="639"/>
      <c r="AA53" s="639"/>
      <c r="AB53" s="639"/>
      <c r="AC53" s="639"/>
      <c r="AD53" s="639"/>
      <c r="AE53" s="639"/>
      <c r="AF53" s="639"/>
      <c r="AG53" s="639"/>
      <c r="AH53" s="639"/>
      <c r="AI53" s="639"/>
      <c r="AJ53" s="639"/>
      <c r="AK53" s="639"/>
      <c r="AL53" s="639"/>
      <c r="AM53" s="639"/>
      <c r="AN53" s="639"/>
      <c r="AO53" s="639"/>
      <c r="AP53" s="639"/>
      <c r="AQ53" s="639"/>
      <c r="AR53" s="639"/>
      <c r="AS53" s="639"/>
      <c r="AT53" s="639"/>
      <c r="AU53" s="639"/>
      <c r="AV53" s="639"/>
      <c r="AW53" s="639"/>
      <c r="AX53" s="639"/>
    </row>
    <row r="54" spans="1:50" ht="39.950000000000003" customHeight="1" x14ac:dyDescent="0.25">
      <c r="A54" s="633">
        <f t="shared" si="0"/>
        <v>42</v>
      </c>
      <c r="B54" s="634"/>
      <c r="C54" s="631"/>
      <c r="D54" s="632"/>
      <c r="E54" s="640"/>
      <c r="F54" s="641"/>
      <c r="G54" s="641"/>
      <c r="H54" s="641"/>
      <c r="I54" s="641"/>
      <c r="J54" s="641"/>
      <c r="K54" s="642"/>
      <c r="L54" s="635"/>
      <c r="M54" s="636"/>
      <c r="N54" s="636"/>
      <c r="O54" s="636"/>
      <c r="P54" s="636"/>
      <c r="Q54" s="636"/>
      <c r="R54" s="637"/>
      <c r="S54" s="643"/>
      <c r="T54" s="643"/>
      <c r="U54" s="643"/>
      <c r="V54" s="638"/>
      <c r="W54" s="638"/>
      <c r="X54" s="638"/>
      <c r="Y54" s="638"/>
      <c r="Z54" s="638"/>
      <c r="AA54" s="638"/>
      <c r="AB54" s="638"/>
      <c r="AC54" s="638"/>
      <c r="AD54" s="638"/>
      <c r="AE54" s="638"/>
      <c r="AF54" s="638"/>
      <c r="AG54" s="638"/>
      <c r="AH54" s="638"/>
      <c r="AI54" s="638"/>
      <c r="AJ54" s="638"/>
      <c r="AK54" s="638"/>
      <c r="AL54" s="638"/>
      <c r="AM54" s="638"/>
      <c r="AN54" s="638"/>
      <c r="AO54" s="638"/>
      <c r="AP54" s="638"/>
      <c r="AQ54" s="638"/>
      <c r="AR54" s="638"/>
      <c r="AS54" s="638"/>
      <c r="AT54" s="638"/>
      <c r="AU54" s="638"/>
      <c r="AV54" s="638"/>
      <c r="AW54" s="638"/>
      <c r="AX54" s="638"/>
    </row>
    <row r="55" spans="1:50" ht="39.950000000000003" customHeight="1" x14ac:dyDescent="0.25">
      <c r="A55" s="633">
        <f t="shared" si="0"/>
        <v>43</v>
      </c>
      <c r="B55" s="634"/>
      <c r="C55" s="629"/>
      <c r="D55" s="630"/>
      <c r="E55" s="640"/>
      <c r="F55" s="641"/>
      <c r="G55" s="641"/>
      <c r="H55" s="641"/>
      <c r="I55" s="641"/>
      <c r="J55" s="641"/>
      <c r="K55" s="642"/>
      <c r="L55" s="644"/>
      <c r="M55" s="645"/>
      <c r="N55" s="645"/>
      <c r="O55" s="645"/>
      <c r="P55" s="645"/>
      <c r="Q55" s="645"/>
      <c r="R55" s="646"/>
      <c r="S55" s="643"/>
      <c r="T55" s="643"/>
      <c r="U55" s="643"/>
      <c r="V55" s="639"/>
      <c r="W55" s="639"/>
      <c r="X55" s="639"/>
      <c r="Y55" s="639"/>
      <c r="Z55" s="639"/>
      <c r="AA55" s="639"/>
      <c r="AB55" s="639"/>
      <c r="AC55" s="639"/>
      <c r="AD55" s="639"/>
      <c r="AE55" s="639"/>
      <c r="AF55" s="639"/>
      <c r="AG55" s="639"/>
      <c r="AH55" s="639"/>
      <c r="AI55" s="639"/>
      <c r="AJ55" s="639"/>
      <c r="AK55" s="639"/>
      <c r="AL55" s="639"/>
      <c r="AM55" s="639"/>
      <c r="AN55" s="639"/>
      <c r="AO55" s="639"/>
      <c r="AP55" s="639"/>
      <c r="AQ55" s="639"/>
      <c r="AR55" s="639"/>
      <c r="AS55" s="639"/>
      <c r="AT55" s="639"/>
      <c r="AU55" s="639"/>
      <c r="AV55" s="639"/>
      <c r="AW55" s="639"/>
      <c r="AX55" s="639"/>
    </row>
    <row r="56" spans="1:50" ht="39.950000000000003" customHeight="1" x14ac:dyDescent="0.25">
      <c r="A56" s="633">
        <f t="shared" si="0"/>
        <v>44</v>
      </c>
      <c r="B56" s="634"/>
      <c r="C56" s="631"/>
      <c r="D56" s="632"/>
      <c r="E56" s="640"/>
      <c r="F56" s="641"/>
      <c r="G56" s="641"/>
      <c r="H56" s="641"/>
      <c r="I56" s="641"/>
      <c r="J56" s="641"/>
      <c r="K56" s="642"/>
      <c r="L56" s="635"/>
      <c r="M56" s="636"/>
      <c r="N56" s="636"/>
      <c r="O56" s="636"/>
      <c r="P56" s="636"/>
      <c r="Q56" s="636"/>
      <c r="R56" s="637"/>
      <c r="S56" s="643"/>
      <c r="T56" s="643"/>
      <c r="U56" s="643"/>
      <c r="V56" s="638"/>
      <c r="W56" s="638"/>
      <c r="X56" s="638"/>
      <c r="Y56" s="638"/>
      <c r="Z56" s="638"/>
      <c r="AA56" s="638"/>
      <c r="AB56" s="638"/>
      <c r="AC56" s="638"/>
      <c r="AD56" s="638"/>
      <c r="AE56" s="638"/>
      <c r="AF56" s="638"/>
      <c r="AG56" s="638"/>
      <c r="AH56" s="638"/>
      <c r="AI56" s="638"/>
      <c r="AJ56" s="638"/>
      <c r="AK56" s="638"/>
      <c r="AL56" s="638"/>
      <c r="AM56" s="638"/>
      <c r="AN56" s="638"/>
      <c r="AO56" s="638"/>
      <c r="AP56" s="638"/>
      <c r="AQ56" s="638"/>
      <c r="AR56" s="638"/>
      <c r="AS56" s="638"/>
      <c r="AT56" s="638"/>
      <c r="AU56" s="638"/>
      <c r="AV56" s="638"/>
      <c r="AW56" s="638"/>
      <c r="AX56" s="638"/>
    </row>
    <row r="57" spans="1:50" ht="39.950000000000003" customHeight="1" x14ac:dyDescent="0.25">
      <c r="A57" s="633">
        <f t="shared" si="0"/>
        <v>45</v>
      </c>
      <c r="B57" s="634"/>
      <c r="C57" s="629"/>
      <c r="D57" s="630"/>
      <c r="E57" s="640"/>
      <c r="F57" s="641"/>
      <c r="G57" s="641"/>
      <c r="H57" s="641"/>
      <c r="I57" s="641"/>
      <c r="J57" s="641"/>
      <c r="K57" s="642"/>
      <c r="L57" s="644"/>
      <c r="M57" s="645"/>
      <c r="N57" s="645"/>
      <c r="O57" s="645"/>
      <c r="P57" s="645"/>
      <c r="Q57" s="645"/>
      <c r="R57" s="646"/>
      <c r="S57" s="643"/>
      <c r="T57" s="643"/>
      <c r="U57" s="643"/>
      <c r="V57" s="639"/>
      <c r="W57" s="639"/>
      <c r="X57" s="639"/>
      <c r="Y57" s="639"/>
      <c r="Z57" s="639"/>
      <c r="AA57" s="639"/>
      <c r="AB57" s="639"/>
      <c r="AC57" s="639"/>
      <c r="AD57" s="639"/>
      <c r="AE57" s="639"/>
      <c r="AF57" s="639"/>
      <c r="AG57" s="639"/>
      <c r="AH57" s="639"/>
      <c r="AI57" s="639"/>
      <c r="AJ57" s="639"/>
      <c r="AK57" s="639"/>
      <c r="AL57" s="639"/>
      <c r="AM57" s="639"/>
      <c r="AN57" s="639"/>
      <c r="AO57" s="639"/>
      <c r="AP57" s="639"/>
      <c r="AQ57" s="639"/>
      <c r="AR57" s="639"/>
      <c r="AS57" s="639"/>
      <c r="AT57" s="639"/>
      <c r="AU57" s="639"/>
      <c r="AV57" s="639"/>
      <c r="AW57" s="639"/>
      <c r="AX57" s="639"/>
    </row>
    <row r="58" spans="1:50" ht="39.950000000000003" customHeight="1" x14ac:dyDescent="0.25">
      <c r="A58" s="633">
        <f t="shared" si="0"/>
        <v>46</v>
      </c>
      <c r="B58" s="634"/>
      <c r="C58" s="631"/>
      <c r="D58" s="632"/>
      <c r="E58" s="640"/>
      <c r="F58" s="641"/>
      <c r="G58" s="641"/>
      <c r="H58" s="641"/>
      <c r="I58" s="641"/>
      <c r="J58" s="641"/>
      <c r="K58" s="642"/>
      <c r="L58" s="635"/>
      <c r="M58" s="636"/>
      <c r="N58" s="636"/>
      <c r="O58" s="636"/>
      <c r="P58" s="636"/>
      <c r="Q58" s="636"/>
      <c r="R58" s="637"/>
      <c r="S58" s="643"/>
      <c r="T58" s="643"/>
      <c r="U58" s="643"/>
      <c r="V58" s="638"/>
      <c r="W58" s="638"/>
      <c r="X58" s="638"/>
      <c r="Y58" s="638"/>
      <c r="Z58" s="638"/>
      <c r="AA58" s="638"/>
      <c r="AB58" s="638"/>
      <c r="AC58" s="638"/>
      <c r="AD58" s="638"/>
      <c r="AE58" s="638"/>
      <c r="AF58" s="638"/>
      <c r="AG58" s="638"/>
      <c r="AH58" s="638"/>
      <c r="AI58" s="638"/>
      <c r="AJ58" s="638"/>
      <c r="AK58" s="638"/>
      <c r="AL58" s="638"/>
      <c r="AM58" s="638"/>
      <c r="AN58" s="638"/>
      <c r="AO58" s="638"/>
      <c r="AP58" s="638"/>
      <c r="AQ58" s="638"/>
      <c r="AR58" s="638"/>
      <c r="AS58" s="638"/>
      <c r="AT58" s="638"/>
      <c r="AU58" s="638"/>
      <c r="AV58" s="638"/>
      <c r="AW58" s="638"/>
      <c r="AX58" s="638"/>
    </row>
    <row r="59" spans="1:50" ht="39.950000000000003" customHeight="1" x14ac:dyDescent="0.25">
      <c r="A59" s="633">
        <f t="shared" si="0"/>
        <v>47</v>
      </c>
      <c r="B59" s="634"/>
      <c r="C59" s="629"/>
      <c r="D59" s="630"/>
      <c r="E59" s="640"/>
      <c r="F59" s="641"/>
      <c r="G59" s="641"/>
      <c r="H59" s="641"/>
      <c r="I59" s="641"/>
      <c r="J59" s="641"/>
      <c r="K59" s="642"/>
      <c r="L59" s="644"/>
      <c r="M59" s="645"/>
      <c r="N59" s="645"/>
      <c r="O59" s="645"/>
      <c r="P59" s="645"/>
      <c r="Q59" s="645"/>
      <c r="R59" s="646"/>
      <c r="S59" s="643"/>
      <c r="T59" s="643"/>
      <c r="U59" s="643"/>
      <c r="V59" s="639"/>
      <c r="W59" s="639"/>
      <c r="X59" s="639"/>
      <c r="Y59" s="639"/>
      <c r="Z59" s="639"/>
      <c r="AA59" s="639"/>
      <c r="AB59" s="639"/>
      <c r="AC59" s="639"/>
      <c r="AD59" s="639"/>
      <c r="AE59" s="639"/>
      <c r="AF59" s="639"/>
      <c r="AG59" s="639"/>
      <c r="AH59" s="639"/>
      <c r="AI59" s="639"/>
      <c r="AJ59" s="639"/>
      <c r="AK59" s="639"/>
      <c r="AL59" s="639"/>
      <c r="AM59" s="639"/>
      <c r="AN59" s="639"/>
      <c r="AO59" s="639"/>
      <c r="AP59" s="639"/>
      <c r="AQ59" s="639"/>
      <c r="AR59" s="639"/>
      <c r="AS59" s="639"/>
      <c r="AT59" s="639"/>
      <c r="AU59" s="639"/>
      <c r="AV59" s="639"/>
      <c r="AW59" s="639"/>
      <c r="AX59" s="639"/>
    </row>
    <row r="60" spans="1:50" ht="39.950000000000003" customHeight="1" x14ac:dyDescent="0.25">
      <c r="A60" s="633">
        <f t="shared" si="0"/>
        <v>48</v>
      </c>
      <c r="B60" s="634"/>
      <c r="C60" s="631"/>
      <c r="D60" s="632"/>
      <c r="E60" s="640"/>
      <c r="F60" s="641"/>
      <c r="G60" s="641"/>
      <c r="H60" s="641"/>
      <c r="I60" s="641"/>
      <c r="J60" s="641"/>
      <c r="K60" s="642"/>
      <c r="L60" s="635"/>
      <c r="M60" s="636"/>
      <c r="N60" s="636"/>
      <c r="O60" s="636"/>
      <c r="P60" s="636"/>
      <c r="Q60" s="636"/>
      <c r="R60" s="637"/>
      <c r="S60" s="643"/>
      <c r="T60" s="643"/>
      <c r="U60" s="643"/>
      <c r="V60" s="638"/>
      <c r="W60" s="638"/>
      <c r="X60" s="638"/>
      <c r="Y60" s="638"/>
      <c r="Z60" s="638"/>
      <c r="AA60" s="638"/>
      <c r="AB60" s="638"/>
      <c r="AC60" s="638"/>
      <c r="AD60" s="638"/>
      <c r="AE60" s="638"/>
      <c r="AF60" s="638"/>
      <c r="AG60" s="638"/>
      <c r="AH60" s="638"/>
      <c r="AI60" s="638"/>
      <c r="AJ60" s="638"/>
      <c r="AK60" s="638"/>
      <c r="AL60" s="638"/>
      <c r="AM60" s="638"/>
      <c r="AN60" s="638"/>
      <c r="AO60" s="638"/>
      <c r="AP60" s="638"/>
      <c r="AQ60" s="638"/>
      <c r="AR60" s="638"/>
      <c r="AS60" s="638"/>
      <c r="AT60" s="638"/>
      <c r="AU60" s="638"/>
      <c r="AV60" s="638"/>
      <c r="AW60" s="638"/>
      <c r="AX60" s="638"/>
    </row>
    <row r="61" spans="1:50" ht="39.950000000000003" customHeight="1" x14ac:dyDescent="0.25">
      <c r="A61" s="633">
        <f t="shared" si="0"/>
        <v>49</v>
      </c>
      <c r="B61" s="634"/>
      <c r="C61" s="629"/>
      <c r="D61" s="630"/>
      <c r="E61" s="640"/>
      <c r="F61" s="641"/>
      <c r="G61" s="641"/>
      <c r="H61" s="641"/>
      <c r="I61" s="641"/>
      <c r="J61" s="641"/>
      <c r="K61" s="642"/>
      <c r="L61" s="644"/>
      <c r="M61" s="645"/>
      <c r="N61" s="645"/>
      <c r="O61" s="645"/>
      <c r="P61" s="645"/>
      <c r="Q61" s="645"/>
      <c r="R61" s="646"/>
      <c r="S61" s="643"/>
      <c r="T61" s="643"/>
      <c r="U61" s="643"/>
      <c r="V61" s="639"/>
      <c r="W61" s="639"/>
      <c r="X61" s="639"/>
      <c r="Y61" s="639"/>
      <c r="Z61" s="639"/>
      <c r="AA61" s="639"/>
      <c r="AB61" s="639"/>
      <c r="AC61" s="639"/>
      <c r="AD61" s="639"/>
      <c r="AE61" s="639"/>
      <c r="AF61" s="639"/>
      <c r="AG61" s="639"/>
      <c r="AH61" s="639"/>
      <c r="AI61" s="639"/>
      <c r="AJ61" s="639"/>
      <c r="AK61" s="639"/>
      <c r="AL61" s="639"/>
      <c r="AM61" s="639"/>
      <c r="AN61" s="639"/>
      <c r="AO61" s="639"/>
      <c r="AP61" s="639"/>
      <c r="AQ61" s="639"/>
      <c r="AR61" s="639"/>
      <c r="AS61" s="639"/>
      <c r="AT61" s="639"/>
      <c r="AU61" s="639"/>
      <c r="AV61" s="639"/>
      <c r="AW61" s="639"/>
      <c r="AX61" s="639"/>
    </row>
    <row r="62" spans="1:50" ht="39.950000000000003" customHeight="1" x14ac:dyDescent="0.25">
      <c r="A62" s="633">
        <f t="shared" si="0"/>
        <v>50</v>
      </c>
      <c r="B62" s="634"/>
      <c r="C62" s="631"/>
      <c r="D62" s="632"/>
      <c r="E62" s="640"/>
      <c r="F62" s="641"/>
      <c r="G62" s="641"/>
      <c r="H62" s="641"/>
      <c r="I62" s="641"/>
      <c r="J62" s="641"/>
      <c r="K62" s="642"/>
      <c r="L62" s="635"/>
      <c r="M62" s="636"/>
      <c r="N62" s="636"/>
      <c r="O62" s="636"/>
      <c r="P62" s="636"/>
      <c r="Q62" s="636"/>
      <c r="R62" s="637"/>
      <c r="S62" s="643"/>
      <c r="T62" s="643"/>
      <c r="U62" s="643"/>
      <c r="V62" s="638"/>
      <c r="W62" s="638"/>
      <c r="X62" s="638"/>
      <c r="Y62" s="638"/>
      <c r="Z62" s="638"/>
      <c r="AA62" s="638"/>
      <c r="AB62" s="638"/>
      <c r="AC62" s="638"/>
      <c r="AD62" s="638"/>
      <c r="AE62" s="638"/>
      <c r="AF62" s="638"/>
      <c r="AG62" s="638"/>
      <c r="AH62" s="638"/>
      <c r="AI62" s="638"/>
      <c r="AJ62" s="638"/>
      <c r="AK62" s="638"/>
      <c r="AL62" s="638"/>
      <c r="AM62" s="638"/>
      <c r="AN62" s="638"/>
      <c r="AO62" s="638"/>
      <c r="AP62" s="638"/>
      <c r="AQ62" s="638"/>
      <c r="AR62" s="638"/>
      <c r="AS62" s="638"/>
      <c r="AT62" s="638"/>
      <c r="AU62" s="638"/>
      <c r="AV62" s="638"/>
      <c r="AW62" s="638"/>
      <c r="AX62" s="638"/>
    </row>
    <row r="63" spans="1:50" ht="39.950000000000003" customHeight="1" x14ac:dyDescent="0.25">
      <c r="A63" s="633">
        <f t="shared" si="0"/>
        <v>51</v>
      </c>
      <c r="B63" s="634"/>
      <c r="C63" s="629"/>
      <c r="D63" s="630"/>
      <c r="E63" s="640"/>
      <c r="F63" s="641"/>
      <c r="G63" s="641"/>
      <c r="H63" s="641"/>
      <c r="I63" s="641"/>
      <c r="J63" s="641"/>
      <c r="K63" s="642"/>
      <c r="L63" s="644"/>
      <c r="M63" s="645"/>
      <c r="N63" s="645"/>
      <c r="O63" s="645"/>
      <c r="P63" s="645"/>
      <c r="Q63" s="645"/>
      <c r="R63" s="646"/>
      <c r="S63" s="643"/>
      <c r="T63" s="643"/>
      <c r="U63" s="643"/>
      <c r="V63" s="639"/>
      <c r="W63" s="639"/>
      <c r="X63" s="639"/>
      <c r="Y63" s="639"/>
      <c r="Z63" s="639"/>
      <c r="AA63" s="639"/>
      <c r="AB63" s="639"/>
      <c r="AC63" s="639"/>
      <c r="AD63" s="639"/>
      <c r="AE63" s="639"/>
      <c r="AF63" s="639"/>
      <c r="AG63" s="639"/>
      <c r="AH63" s="639"/>
      <c r="AI63" s="639"/>
      <c r="AJ63" s="639"/>
      <c r="AK63" s="639"/>
      <c r="AL63" s="639"/>
      <c r="AM63" s="639"/>
      <c r="AN63" s="639"/>
      <c r="AO63" s="639"/>
      <c r="AP63" s="639"/>
      <c r="AQ63" s="639"/>
      <c r="AR63" s="639"/>
      <c r="AS63" s="639"/>
      <c r="AT63" s="639"/>
      <c r="AU63" s="639"/>
      <c r="AV63" s="639"/>
      <c r="AW63" s="639"/>
      <c r="AX63" s="639"/>
    </row>
    <row r="64" spans="1:50" ht="39.950000000000003" customHeight="1" x14ac:dyDescent="0.25">
      <c r="A64" s="633">
        <f t="shared" si="0"/>
        <v>52</v>
      </c>
      <c r="B64" s="634"/>
      <c r="C64" s="631"/>
      <c r="D64" s="632"/>
      <c r="E64" s="640"/>
      <c r="F64" s="641"/>
      <c r="G64" s="641"/>
      <c r="H64" s="641"/>
      <c r="I64" s="641"/>
      <c r="J64" s="641"/>
      <c r="K64" s="642"/>
      <c r="L64" s="635"/>
      <c r="M64" s="636"/>
      <c r="N64" s="636"/>
      <c r="O64" s="636"/>
      <c r="P64" s="636"/>
      <c r="Q64" s="636"/>
      <c r="R64" s="637"/>
      <c r="S64" s="643"/>
      <c r="T64" s="643"/>
      <c r="U64" s="643"/>
      <c r="V64" s="638"/>
      <c r="W64" s="638"/>
      <c r="X64" s="638"/>
      <c r="Y64" s="638"/>
      <c r="Z64" s="638"/>
      <c r="AA64" s="638"/>
      <c r="AB64" s="638"/>
      <c r="AC64" s="638"/>
      <c r="AD64" s="638"/>
      <c r="AE64" s="638"/>
      <c r="AF64" s="638"/>
      <c r="AG64" s="638"/>
      <c r="AH64" s="638"/>
      <c r="AI64" s="638"/>
      <c r="AJ64" s="638"/>
      <c r="AK64" s="638"/>
      <c r="AL64" s="638"/>
      <c r="AM64" s="638"/>
      <c r="AN64" s="638"/>
      <c r="AO64" s="638"/>
      <c r="AP64" s="638"/>
      <c r="AQ64" s="638"/>
      <c r="AR64" s="638"/>
      <c r="AS64" s="638"/>
      <c r="AT64" s="638"/>
      <c r="AU64" s="638"/>
      <c r="AV64" s="638"/>
      <c r="AW64" s="638"/>
      <c r="AX64" s="638"/>
    </row>
    <row r="65" spans="1:50" ht="39.950000000000003" customHeight="1" x14ac:dyDescent="0.25">
      <c r="A65" s="633">
        <f t="shared" si="0"/>
        <v>53</v>
      </c>
      <c r="B65" s="634"/>
      <c r="C65" s="629"/>
      <c r="D65" s="630"/>
      <c r="E65" s="640"/>
      <c r="F65" s="641"/>
      <c r="G65" s="641"/>
      <c r="H65" s="641"/>
      <c r="I65" s="641"/>
      <c r="J65" s="641"/>
      <c r="K65" s="642"/>
      <c r="L65" s="644"/>
      <c r="M65" s="645"/>
      <c r="N65" s="645"/>
      <c r="O65" s="645"/>
      <c r="P65" s="645"/>
      <c r="Q65" s="645"/>
      <c r="R65" s="646"/>
      <c r="S65" s="643"/>
      <c r="T65" s="643"/>
      <c r="U65" s="643"/>
      <c r="V65" s="639"/>
      <c r="W65" s="639"/>
      <c r="X65" s="639"/>
      <c r="Y65" s="639"/>
      <c r="Z65" s="639"/>
      <c r="AA65" s="639"/>
      <c r="AB65" s="639"/>
      <c r="AC65" s="639"/>
      <c r="AD65" s="639"/>
      <c r="AE65" s="639"/>
      <c r="AF65" s="639"/>
      <c r="AG65" s="639"/>
      <c r="AH65" s="639"/>
      <c r="AI65" s="639"/>
      <c r="AJ65" s="639"/>
      <c r="AK65" s="639"/>
      <c r="AL65" s="639"/>
      <c r="AM65" s="639"/>
      <c r="AN65" s="639"/>
      <c r="AO65" s="639"/>
      <c r="AP65" s="639"/>
      <c r="AQ65" s="639"/>
      <c r="AR65" s="639"/>
      <c r="AS65" s="639"/>
      <c r="AT65" s="639"/>
      <c r="AU65" s="639"/>
      <c r="AV65" s="639"/>
      <c r="AW65" s="639"/>
      <c r="AX65" s="639"/>
    </row>
    <row r="66" spans="1:50" ht="39.950000000000003" customHeight="1" x14ac:dyDescent="0.25">
      <c r="A66" s="633">
        <f t="shared" si="0"/>
        <v>54</v>
      </c>
      <c r="B66" s="634"/>
      <c r="C66" s="631"/>
      <c r="D66" s="632"/>
      <c r="E66" s="640"/>
      <c r="F66" s="641"/>
      <c r="G66" s="641"/>
      <c r="H66" s="641"/>
      <c r="I66" s="641"/>
      <c r="J66" s="641"/>
      <c r="K66" s="642"/>
      <c r="L66" s="635"/>
      <c r="M66" s="636"/>
      <c r="N66" s="636"/>
      <c r="O66" s="636"/>
      <c r="P66" s="636"/>
      <c r="Q66" s="636"/>
      <c r="R66" s="637"/>
      <c r="S66" s="643"/>
      <c r="T66" s="643"/>
      <c r="U66" s="643"/>
      <c r="V66" s="638"/>
      <c r="W66" s="638"/>
      <c r="X66" s="638"/>
      <c r="Y66" s="638"/>
      <c r="Z66" s="638"/>
      <c r="AA66" s="638"/>
      <c r="AB66" s="638"/>
      <c r="AC66" s="638"/>
      <c r="AD66" s="638"/>
      <c r="AE66" s="638"/>
      <c r="AF66" s="638"/>
      <c r="AG66" s="638"/>
      <c r="AH66" s="638"/>
      <c r="AI66" s="638"/>
      <c r="AJ66" s="638"/>
      <c r="AK66" s="638"/>
      <c r="AL66" s="638"/>
      <c r="AM66" s="638"/>
      <c r="AN66" s="638"/>
      <c r="AO66" s="638"/>
      <c r="AP66" s="638"/>
      <c r="AQ66" s="638"/>
      <c r="AR66" s="638"/>
      <c r="AS66" s="638"/>
      <c r="AT66" s="638"/>
      <c r="AU66" s="638"/>
      <c r="AV66" s="638"/>
      <c r="AW66" s="638"/>
      <c r="AX66" s="638"/>
    </row>
    <row r="67" spans="1:50" ht="39.950000000000003" customHeight="1" x14ac:dyDescent="0.25">
      <c r="A67" s="633">
        <f t="shared" si="0"/>
        <v>55</v>
      </c>
      <c r="B67" s="634"/>
      <c r="C67" s="629"/>
      <c r="D67" s="630"/>
      <c r="E67" s="640"/>
      <c r="F67" s="641"/>
      <c r="G67" s="641"/>
      <c r="H67" s="641"/>
      <c r="I67" s="641"/>
      <c r="J67" s="641"/>
      <c r="K67" s="642"/>
      <c r="L67" s="644"/>
      <c r="M67" s="645"/>
      <c r="N67" s="645"/>
      <c r="O67" s="645"/>
      <c r="P67" s="645"/>
      <c r="Q67" s="645"/>
      <c r="R67" s="646"/>
      <c r="S67" s="643"/>
      <c r="T67" s="643"/>
      <c r="U67" s="643"/>
      <c r="V67" s="639"/>
      <c r="W67" s="639"/>
      <c r="X67" s="639"/>
      <c r="Y67" s="639"/>
      <c r="Z67" s="639"/>
      <c r="AA67" s="639"/>
      <c r="AB67" s="639"/>
      <c r="AC67" s="639"/>
      <c r="AD67" s="639"/>
      <c r="AE67" s="639"/>
      <c r="AF67" s="639"/>
      <c r="AG67" s="639"/>
      <c r="AH67" s="639"/>
      <c r="AI67" s="639"/>
      <c r="AJ67" s="639"/>
      <c r="AK67" s="639"/>
      <c r="AL67" s="639"/>
      <c r="AM67" s="639"/>
      <c r="AN67" s="639"/>
      <c r="AO67" s="639"/>
      <c r="AP67" s="639"/>
      <c r="AQ67" s="639"/>
      <c r="AR67" s="639"/>
      <c r="AS67" s="639"/>
      <c r="AT67" s="639"/>
      <c r="AU67" s="639"/>
      <c r="AV67" s="639"/>
      <c r="AW67" s="639"/>
      <c r="AX67" s="639"/>
    </row>
    <row r="68" spans="1:50" ht="39.950000000000003" customHeight="1" x14ac:dyDescent="0.25">
      <c r="A68" s="633">
        <f t="shared" si="0"/>
        <v>56</v>
      </c>
      <c r="B68" s="634"/>
      <c r="C68" s="631"/>
      <c r="D68" s="632"/>
      <c r="E68" s="640"/>
      <c r="F68" s="641"/>
      <c r="G68" s="641"/>
      <c r="H68" s="641"/>
      <c r="I68" s="641"/>
      <c r="J68" s="641"/>
      <c r="K68" s="642"/>
      <c r="L68" s="635"/>
      <c r="M68" s="636"/>
      <c r="N68" s="636"/>
      <c r="O68" s="636"/>
      <c r="P68" s="636"/>
      <c r="Q68" s="636"/>
      <c r="R68" s="637"/>
      <c r="S68" s="643"/>
      <c r="T68" s="643"/>
      <c r="U68" s="643"/>
      <c r="V68" s="638"/>
      <c r="W68" s="638"/>
      <c r="X68" s="638"/>
      <c r="Y68" s="638"/>
      <c r="Z68" s="638"/>
      <c r="AA68" s="638"/>
      <c r="AB68" s="638"/>
      <c r="AC68" s="638"/>
      <c r="AD68" s="638"/>
      <c r="AE68" s="638"/>
      <c r="AF68" s="638"/>
      <c r="AG68" s="638"/>
      <c r="AH68" s="638"/>
      <c r="AI68" s="638"/>
      <c r="AJ68" s="638"/>
      <c r="AK68" s="638"/>
      <c r="AL68" s="638"/>
      <c r="AM68" s="638"/>
      <c r="AN68" s="638"/>
      <c r="AO68" s="638"/>
      <c r="AP68" s="638"/>
      <c r="AQ68" s="638"/>
      <c r="AR68" s="638"/>
      <c r="AS68" s="638"/>
      <c r="AT68" s="638"/>
      <c r="AU68" s="638"/>
      <c r="AV68" s="638"/>
      <c r="AW68" s="638"/>
      <c r="AX68" s="638"/>
    </row>
    <row r="69" spans="1:50" ht="39.950000000000003" customHeight="1" x14ac:dyDescent="0.25">
      <c r="A69" s="633">
        <f t="shared" si="0"/>
        <v>57</v>
      </c>
      <c r="B69" s="634"/>
      <c r="C69" s="629"/>
      <c r="D69" s="630"/>
      <c r="E69" s="640"/>
      <c r="F69" s="641"/>
      <c r="G69" s="641"/>
      <c r="H69" s="641"/>
      <c r="I69" s="641"/>
      <c r="J69" s="641"/>
      <c r="K69" s="642"/>
      <c r="L69" s="644"/>
      <c r="M69" s="645"/>
      <c r="N69" s="645"/>
      <c r="O69" s="645"/>
      <c r="P69" s="645"/>
      <c r="Q69" s="645"/>
      <c r="R69" s="646"/>
      <c r="S69" s="643"/>
      <c r="T69" s="643"/>
      <c r="U69" s="643"/>
      <c r="V69" s="639"/>
      <c r="W69" s="639"/>
      <c r="X69" s="639"/>
      <c r="Y69" s="639"/>
      <c r="Z69" s="639"/>
      <c r="AA69" s="639"/>
      <c r="AB69" s="639"/>
      <c r="AC69" s="639"/>
      <c r="AD69" s="639"/>
      <c r="AE69" s="639"/>
      <c r="AF69" s="639"/>
      <c r="AG69" s="639"/>
      <c r="AH69" s="639"/>
      <c r="AI69" s="639"/>
      <c r="AJ69" s="639"/>
      <c r="AK69" s="639"/>
      <c r="AL69" s="639"/>
      <c r="AM69" s="639"/>
      <c r="AN69" s="639"/>
      <c r="AO69" s="639"/>
      <c r="AP69" s="639"/>
      <c r="AQ69" s="639"/>
      <c r="AR69" s="639"/>
      <c r="AS69" s="639"/>
      <c r="AT69" s="639"/>
      <c r="AU69" s="639"/>
      <c r="AV69" s="639"/>
      <c r="AW69" s="639"/>
      <c r="AX69" s="639"/>
    </row>
    <row r="70" spans="1:50" ht="39.950000000000003" customHeight="1" x14ac:dyDescent="0.25">
      <c r="A70" s="633">
        <f t="shared" si="0"/>
        <v>58</v>
      </c>
      <c r="B70" s="634"/>
      <c r="C70" s="631"/>
      <c r="D70" s="632"/>
      <c r="E70" s="640"/>
      <c r="F70" s="641"/>
      <c r="G70" s="641"/>
      <c r="H70" s="641"/>
      <c r="I70" s="641"/>
      <c r="J70" s="641"/>
      <c r="K70" s="642"/>
      <c r="L70" s="635"/>
      <c r="M70" s="636"/>
      <c r="N70" s="636"/>
      <c r="O70" s="636"/>
      <c r="P70" s="636"/>
      <c r="Q70" s="636"/>
      <c r="R70" s="637"/>
      <c r="S70" s="643"/>
      <c r="T70" s="643"/>
      <c r="U70" s="643"/>
      <c r="V70" s="638"/>
      <c r="W70" s="638"/>
      <c r="X70" s="638"/>
      <c r="Y70" s="638"/>
      <c r="Z70" s="638"/>
      <c r="AA70" s="638"/>
      <c r="AB70" s="638"/>
      <c r="AC70" s="638"/>
      <c r="AD70" s="638"/>
      <c r="AE70" s="638"/>
      <c r="AF70" s="638"/>
      <c r="AG70" s="638"/>
      <c r="AH70" s="638"/>
      <c r="AI70" s="638"/>
      <c r="AJ70" s="638"/>
      <c r="AK70" s="638"/>
      <c r="AL70" s="638"/>
      <c r="AM70" s="638"/>
      <c r="AN70" s="638"/>
      <c r="AO70" s="638"/>
      <c r="AP70" s="638"/>
      <c r="AQ70" s="638"/>
      <c r="AR70" s="638"/>
      <c r="AS70" s="638"/>
      <c r="AT70" s="638"/>
      <c r="AU70" s="638"/>
      <c r="AV70" s="638"/>
      <c r="AW70" s="638"/>
      <c r="AX70" s="638"/>
    </row>
    <row r="71" spans="1:50" ht="39.950000000000003" customHeight="1" x14ac:dyDescent="0.25">
      <c r="A71" s="633">
        <f t="shared" si="0"/>
        <v>59</v>
      </c>
      <c r="B71" s="634"/>
      <c r="C71" s="629"/>
      <c r="D71" s="630"/>
      <c r="E71" s="640"/>
      <c r="F71" s="641"/>
      <c r="G71" s="641"/>
      <c r="H71" s="641"/>
      <c r="I71" s="641"/>
      <c r="J71" s="641"/>
      <c r="K71" s="642"/>
      <c r="L71" s="644"/>
      <c r="M71" s="645"/>
      <c r="N71" s="645"/>
      <c r="O71" s="645"/>
      <c r="P71" s="645"/>
      <c r="Q71" s="645"/>
      <c r="R71" s="646"/>
      <c r="S71" s="643"/>
      <c r="T71" s="643"/>
      <c r="U71" s="643"/>
      <c r="V71" s="639"/>
      <c r="W71" s="639"/>
      <c r="X71" s="639"/>
      <c r="Y71" s="639"/>
      <c r="Z71" s="639"/>
      <c r="AA71" s="639"/>
      <c r="AB71" s="639"/>
      <c r="AC71" s="639"/>
      <c r="AD71" s="639"/>
      <c r="AE71" s="639"/>
      <c r="AF71" s="639"/>
      <c r="AG71" s="639"/>
      <c r="AH71" s="639"/>
      <c r="AI71" s="639"/>
      <c r="AJ71" s="639"/>
      <c r="AK71" s="639"/>
      <c r="AL71" s="639"/>
      <c r="AM71" s="639"/>
      <c r="AN71" s="639"/>
      <c r="AO71" s="639"/>
      <c r="AP71" s="639"/>
      <c r="AQ71" s="639"/>
      <c r="AR71" s="639"/>
      <c r="AS71" s="639"/>
      <c r="AT71" s="639"/>
      <c r="AU71" s="639"/>
      <c r="AV71" s="639"/>
      <c r="AW71" s="639"/>
      <c r="AX71" s="639"/>
    </row>
    <row r="72" spans="1:50" ht="39.950000000000003" customHeight="1" x14ac:dyDescent="0.25">
      <c r="A72" s="633">
        <f t="shared" si="0"/>
        <v>60</v>
      </c>
      <c r="B72" s="634"/>
      <c r="C72" s="631"/>
      <c r="D72" s="632"/>
      <c r="E72" s="640"/>
      <c r="F72" s="641"/>
      <c r="G72" s="641"/>
      <c r="H72" s="641"/>
      <c r="I72" s="641"/>
      <c r="J72" s="641"/>
      <c r="K72" s="642"/>
      <c r="L72" s="635"/>
      <c r="M72" s="636"/>
      <c r="N72" s="636"/>
      <c r="O72" s="636"/>
      <c r="P72" s="636"/>
      <c r="Q72" s="636"/>
      <c r="R72" s="637"/>
      <c r="S72" s="643"/>
      <c r="T72" s="643"/>
      <c r="U72" s="643"/>
      <c r="V72" s="638"/>
      <c r="W72" s="638"/>
      <c r="X72" s="638"/>
      <c r="Y72" s="638"/>
      <c r="Z72" s="638"/>
      <c r="AA72" s="638"/>
      <c r="AB72" s="638"/>
      <c r="AC72" s="638"/>
      <c r="AD72" s="638"/>
      <c r="AE72" s="638"/>
      <c r="AF72" s="638"/>
      <c r="AG72" s="638"/>
      <c r="AH72" s="638"/>
      <c r="AI72" s="638"/>
      <c r="AJ72" s="638"/>
      <c r="AK72" s="638"/>
      <c r="AL72" s="638"/>
      <c r="AM72" s="638"/>
      <c r="AN72" s="638"/>
      <c r="AO72" s="638"/>
      <c r="AP72" s="638"/>
      <c r="AQ72" s="638"/>
      <c r="AR72" s="638"/>
      <c r="AS72" s="638"/>
      <c r="AT72" s="638"/>
      <c r="AU72" s="638"/>
      <c r="AV72" s="638"/>
      <c r="AW72" s="638"/>
      <c r="AX72" s="638"/>
    </row>
    <row r="73" spans="1:50" ht="39.950000000000003" customHeight="1" x14ac:dyDescent="0.25">
      <c r="A73" s="633">
        <f t="shared" si="0"/>
        <v>61</v>
      </c>
      <c r="B73" s="634"/>
      <c r="C73" s="629"/>
      <c r="D73" s="630"/>
      <c r="E73" s="640"/>
      <c r="F73" s="641"/>
      <c r="G73" s="641"/>
      <c r="H73" s="641"/>
      <c r="I73" s="641"/>
      <c r="J73" s="641"/>
      <c r="K73" s="642"/>
      <c r="L73" s="644"/>
      <c r="M73" s="645"/>
      <c r="N73" s="645"/>
      <c r="O73" s="645"/>
      <c r="P73" s="645"/>
      <c r="Q73" s="645"/>
      <c r="R73" s="646"/>
      <c r="S73" s="643"/>
      <c r="T73" s="643"/>
      <c r="U73" s="643"/>
      <c r="V73" s="639"/>
      <c r="W73" s="639"/>
      <c r="X73" s="639"/>
      <c r="Y73" s="639"/>
      <c r="Z73" s="639"/>
      <c r="AA73" s="639"/>
      <c r="AB73" s="639"/>
      <c r="AC73" s="639"/>
      <c r="AD73" s="639"/>
      <c r="AE73" s="639"/>
      <c r="AF73" s="639"/>
      <c r="AG73" s="639"/>
      <c r="AH73" s="639"/>
      <c r="AI73" s="639"/>
      <c r="AJ73" s="639"/>
      <c r="AK73" s="639"/>
      <c r="AL73" s="639"/>
      <c r="AM73" s="639"/>
      <c r="AN73" s="639"/>
      <c r="AO73" s="639"/>
      <c r="AP73" s="639"/>
      <c r="AQ73" s="639"/>
      <c r="AR73" s="639"/>
      <c r="AS73" s="639"/>
      <c r="AT73" s="639"/>
      <c r="AU73" s="639"/>
      <c r="AV73" s="639"/>
      <c r="AW73" s="639"/>
      <c r="AX73" s="639"/>
    </row>
  </sheetData>
  <sheetProtection algorithmName="SHA-512" hashValue="3pEPf96W9QBG/88MQRy8VY8F+hVxQhVOJH5oogZqJes+pH80fiqAKyvWZ9e/ROP0jAJ6pujIVn/3pEFTuTSGBw==" saltValue="NIxnt+chlpbcKqVSAgZABA==" spinCount="100000" sheet="1" objects="1" scenarios="1"/>
  <mergeCells count="399">
    <mergeCell ref="A72:B72"/>
    <mergeCell ref="C72:D72"/>
    <mergeCell ref="E72:K72"/>
    <mergeCell ref="L72:R72"/>
    <mergeCell ref="S72:U72"/>
    <mergeCell ref="V72:AX72"/>
    <mergeCell ref="A73:B73"/>
    <mergeCell ref="C73:D73"/>
    <mergeCell ref="E73:K73"/>
    <mergeCell ref="L73:R73"/>
    <mergeCell ref="S73:U73"/>
    <mergeCell ref="V73:AX73"/>
    <mergeCell ref="A70:B70"/>
    <mergeCell ref="C70:D70"/>
    <mergeCell ref="E70:K70"/>
    <mergeCell ref="L70:R70"/>
    <mergeCell ref="S70:U70"/>
    <mergeCell ref="V70:AX70"/>
    <mergeCell ref="A71:B71"/>
    <mergeCell ref="C71:D71"/>
    <mergeCell ref="E71:K71"/>
    <mergeCell ref="L71:R71"/>
    <mergeCell ref="S71:U71"/>
    <mergeCell ref="V71:AX71"/>
    <mergeCell ref="A68:B68"/>
    <mergeCell ref="C68:D68"/>
    <mergeCell ref="E68:K68"/>
    <mergeCell ref="L68:R68"/>
    <mergeCell ref="S68:U68"/>
    <mergeCell ref="V68:AX68"/>
    <mergeCell ref="A69:B69"/>
    <mergeCell ref="C69:D69"/>
    <mergeCell ref="E69:K69"/>
    <mergeCell ref="L69:R69"/>
    <mergeCell ref="S69:U69"/>
    <mergeCell ref="V69:AX69"/>
    <mergeCell ref="A66:B66"/>
    <mergeCell ref="C66:D66"/>
    <mergeCell ref="E66:K66"/>
    <mergeCell ref="L66:R66"/>
    <mergeCell ref="S66:U66"/>
    <mergeCell ref="V66:AX66"/>
    <mergeCell ref="A67:B67"/>
    <mergeCell ref="C67:D67"/>
    <mergeCell ref="E67:K67"/>
    <mergeCell ref="L67:R67"/>
    <mergeCell ref="S67:U67"/>
    <mergeCell ref="V67:AX67"/>
    <mergeCell ref="A64:B64"/>
    <mergeCell ref="C64:D64"/>
    <mergeCell ref="E64:K64"/>
    <mergeCell ref="L64:R64"/>
    <mergeCell ref="S64:U64"/>
    <mergeCell ref="V64:AX64"/>
    <mergeCell ref="A65:B65"/>
    <mergeCell ref="C65:D65"/>
    <mergeCell ref="E65:K65"/>
    <mergeCell ref="L65:R65"/>
    <mergeCell ref="S65:U65"/>
    <mergeCell ref="V65:AX65"/>
    <mergeCell ref="A62:B62"/>
    <mergeCell ref="C62:D62"/>
    <mergeCell ref="E62:K62"/>
    <mergeCell ref="L62:R62"/>
    <mergeCell ref="S62:U62"/>
    <mergeCell ref="V62:AX62"/>
    <mergeCell ref="A63:B63"/>
    <mergeCell ref="C63:D63"/>
    <mergeCell ref="E63:K63"/>
    <mergeCell ref="L63:R63"/>
    <mergeCell ref="S63:U63"/>
    <mergeCell ref="V63:AX63"/>
    <mergeCell ref="A60:B60"/>
    <mergeCell ref="C60:D60"/>
    <mergeCell ref="E60:K60"/>
    <mergeCell ref="L60:R60"/>
    <mergeCell ref="S60:U60"/>
    <mergeCell ref="V60:AX60"/>
    <mergeCell ref="A61:B61"/>
    <mergeCell ref="C61:D61"/>
    <mergeCell ref="E61:K61"/>
    <mergeCell ref="L61:R61"/>
    <mergeCell ref="S61:U61"/>
    <mergeCell ref="V61:AX61"/>
    <mergeCell ref="A58:B58"/>
    <mergeCell ref="C58:D58"/>
    <mergeCell ref="E58:K58"/>
    <mergeCell ref="L58:R58"/>
    <mergeCell ref="S58:U58"/>
    <mergeCell ref="V58:AX58"/>
    <mergeCell ref="A59:B59"/>
    <mergeCell ref="C59:D59"/>
    <mergeCell ref="E59:K59"/>
    <mergeCell ref="L59:R59"/>
    <mergeCell ref="S59:U59"/>
    <mergeCell ref="V59:AX59"/>
    <mergeCell ref="A56:B56"/>
    <mergeCell ref="C56:D56"/>
    <mergeCell ref="E56:K56"/>
    <mergeCell ref="L56:R56"/>
    <mergeCell ref="S56:U56"/>
    <mergeCell ref="V56:AX56"/>
    <mergeCell ref="A57:B57"/>
    <mergeCell ref="C57:D57"/>
    <mergeCell ref="E57:K57"/>
    <mergeCell ref="L57:R57"/>
    <mergeCell ref="S57:U57"/>
    <mergeCell ref="V57:AX57"/>
    <mergeCell ref="A54:B54"/>
    <mergeCell ref="C54:D54"/>
    <mergeCell ref="E54:K54"/>
    <mergeCell ref="L54:R54"/>
    <mergeCell ref="S54:U54"/>
    <mergeCell ref="V54:AX54"/>
    <mergeCell ref="A55:B55"/>
    <mergeCell ref="C55:D55"/>
    <mergeCell ref="E55:K55"/>
    <mergeCell ref="L55:R55"/>
    <mergeCell ref="S55:U55"/>
    <mergeCell ref="V55:AX55"/>
    <mergeCell ref="A52:B52"/>
    <mergeCell ref="C52:D52"/>
    <mergeCell ref="E52:K52"/>
    <mergeCell ref="L52:R52"/>
    <mergeCell ref="S52:U52"/>
    <mergeCell ref="V52:AX52"/>
    <mergeCell ref="A53:B53"/>
    <mergeCell ref="C53:D53"/>
    <mergeCell ref="E53:K53"/>
    <mergeCell ref="L53:R53"/>
    <mergeCell ref="S53:U53"/>
    <mergeCell ref="V53:AX53"/>
    <mergeCell ref="A50:B50"/>
    <mergeCell ref="C50:D50"/>
    <mergeCell ref="E50:K50"/>
    <mergeCell ref="L50:R50"/>
    <mergeCell ref="S50:U50"/>
    <mergeCell ref="V50:AX50"/>
    <mergeCell ref="A51:B51"/>
    <mergeCell ref="C51:D51"/>
    <mergeCell ref="E51:K51"/>
    <mergeCell ref="L51:R51"/>
    <mergeCell ref="S51:U51"/>
    <mergeCell ref="V51:AX51"/>
    <mergeCell ref="A48:B48"/>
    <mergeCell ref="C48:D48"/>
    <mergeCell ref="E48:K48"/>
    <mergeCell ref="L48:R48"/>
    <mergeCell ref="S48:U48"/>
    <mergeCell ref="V48:AX48"/>
    <mergeCell ref="A49:B49"/>
    <mergeCell ref="C49:D49"/>
    <mergeCell ref="E49:K49"/>
    <mergeCell ref="L49:R49"/>
    <mergeCell ref="S49:U49"/>
    <mergeCell ref="V49:AX49"/>
    <mergeCell ref="A46:B46"/>
    <mergeCell ref="C46:D46"/>
    <mergeCell ref="E46:K46"/>
    <mergeCell ref="L46:R46"/>
    <mergeCell ref="S46:U46"/>
    <mergeCell ref="V46:AX46"/>
    <mergeCell ref="A47:B47"/>
    <mergeCell ref="C47:D47"/>
    <mergeCell ref="E47:K47"/>
    <mergeCell ref="L47:R47"/>
    <mergeCell ref="S47:U47"/>
    <mergeCell ref="V47:AX47"/>
    <mergeCell ref="A44:B44"/>
    <mergeCell ref="C44:D44"/>
    <mergeCell ref="E44:K44"/>
    <mergeCell ref="L44:R44"/>
    <mergeCell ref="S44:U44"/>
    <mergeCell ref="V44:AX44"/>
    <mergeCell ref="A45:B45"/>
    <mergeCell ref="C45:D45"/>
    <mergeCell ref="E45:K45"/>
    <mergeCell ref="L45:R45"/>
    <mergeCell ref="S45:U45"/>
    <mergeCell ref="V45:AX45"/>
    <mergeCell ref="A42:B42"/>
    <mergeCell ref="C42:D42"/>
    <mergeCell ref="E42:K42"/>
    <mergeCell ref="L42:R42"/>
    <mergeCell ref="S42:U42"/>
    <mergeCell ref="V42:AX42"/>
    <mergeCell ref="A43:B43"/>
    <mergeCell ref="C43:D43"/>
    <mergeCell ref="E43:K43"/>
    <mergeCell ref="L43:R43"/>
    <mergeCell ref="S43:U43"/>
    <mergeCell ref="V43:AX43"/>
    <mergeCell ref="A40:B40"/>
    <mergeCell ref="C40:D40"/>
    <mergeCell ref="E40:K40"/>
    <mergeCell ref="L40:R40"/>
    <mergeCell ref="S40:U40"/>
    <mergeCell ref="V40:AX40"/>
    <mergeCell ref="A41:B41"/>
    <mergeCell ref="C41:D41"/>
    <mergeCell ref="E41:K41"/>
    <mergeCell ref="L41:R41"/>
    <mergeCell ref="S41:U41"/>
    <mergeCell ref="V41:AX41"/>
    <mergeCell ref="A38:B38"/>
    <mergeCell ref="C38:D38"/>
    <mergeCell ref="E38:K38"/>
    <mergeCell ref="L38:R38"/>
    <mergeCell ref="S38:U38"/>
    <mergeCell ref="V38:AX38"/>
    <mergeCell ref="A39:B39"/>
    <mergeCell ref="C39:D39"/>
    <mergeCell ref="E39:K39"/>
    <mergeCell ref="L39:R39"/>
    <mergeCell ref="S39:U39"/>
    <mergeCell ref="V39:AX39"/>
    <mergeCell ref="A36:B36"/>
    <mergeCell ref="C36:D36"/>
    <mergeCell ref="E36:K36"/>
    <mergeCell ref="L36:R36"/>
    <mergeCell ref="S36:U36"/>
    <mergeCell ref="V36:AX36"/>
    <mergeCell ref="A37:B37"/>
    <mergeCell ref="C37:D37"/>
    <mergeCell ref="E37:K37"/>
    <mergeCell ref="L37:R37"/>
    <mergeCell ref="S37:U37"/>
    <mergeCell ref="V37:AX37"/>
    <mergeCell ref="A34:B34"/>
    <mergeCell ref="C34:D34"/>
    <mergeCell ref="E34:K34"/>
    <mergeCell ref="L34:R34"/>
    <mergeCell ref="S34:U34"/>
    <mergeCell ref="V34:AX34"/>
    <mergeCell ref="A35:B35"/>
    <mergeCell ref="C35:D35"/>
    <mergeCell ref="E35:K35"/>
    <mergeCell ref="L35:R35"/>
    <mergeCell ref="S35:U35"/>
    <mergeCell ref="V35:AX35"/>
    <mergeCell ref="A32:B32"/>
    <mergeCell ref="C32:D32"/>
    <mergeCell ref="E32:K32"/>
    <mergeCell ref="L32:R32"/>
    <mergeCell ref="S32:U32"/>
    <mergeCell ref="V32:AX32"/>
    <mergeCell ref="A33:B33"/>
    <mergeCell ref="C33:D33"/>
    <mergeCell ref="E33:K33"/>
    <mergeCell ref="L33:R33"/>
    <mergeCell ref="S33:U33"/>
    <mergeCell ref="V33:AX33"/>
    <mergeCell ref="A30:B30"/>
    <mergeCell ref="C30:D30"/>
    <mergeCell ref="E30:K30"/>
    <mergeCell ref="S30:U30"/>
    <mergeCell ref="V30:AX30"/>
    <mergeCell ref="A31:B31"/>
    <mergeCell ref="C31:D31"/>
    <mergeCell ref="E31:K31"/>
    <mergeCell ref="L31:R31"/>
    <mergeCell ref="S31:U31"/>
    <mergeCell ref="V31:AX31"/>
    <mergeCell ref="L30:R30"/>
    <mergeCell ref="A23:B23"/>
    <mergeCell ref="S28:U28"/>
    <mergeCell ref="V28:AX28"/>
    <mergeCell ref="A29:B29"/>
    <mergeCell ref="C29:D29"/>
    <mergeCell ref="E29:K29"/>
    <mergeCell ref="L29:R29"/>
    <mergeCell ref="S29:U29"/>
    <mergeCell ref="V29:AX29"/>
    <mergeCell ref="C27:D27"/>
    <mergeCell ref="C28:D28"/>
    <mergeCell ref="E27:K27"/>
    <mergeCell ref="L27:R27"/>
    <mergeCell ref="E28:K28"/>
    <mergeCell ref="L28:R28"/>
    <mergeCell ref="A28:B28"/>
    <mergeCell ref="A24:B24"/>
    <mergeCell ref="C24:D24"/>
    <mergeCell ref="E24:K24"/>
    <mergeCell ref="L24:R24"/>
    <mergeCell ref="S24:U24"/>
    <mergeCell ref="V24:AX24"/>
    <mergeCell ref="A25:B25"/>
    <mergeCell ref="C25:D25"/>
    <mergeCell ref="E25:K25"/>
    <mergeCell ref="L25:R25"/>
    <mergeCell ref="S25:U25"/>
    <mergeCell ref="V25:AX25"/>
    <mergeCell ref="A26:B26"/>
    <mergeCell ref="C26:D26"/>
    <mergeCell ref="E26:K26"/>
    <mergeCell ref="L26:R26"/>
    <mergeCell ref="S26:U26"/>
    <mergeCell ref="V26:AX26"/>
    <mergeCell ref="A27:B27"/>
    <mergeCell ref="S27:U27"/>
    <mergeCell ref="V27:AX27"/>
    <mergeCell ref="A9:I10"/>
    <mergeCell ref="J9:X10"/>
    <mergeCell ref="Y9:AI9"/>
    <mergeCell ref="AJ9:AX9"/>
    <mergeCell ref="Y10:AI10"/>
    <mergeCell ref="AJ10:AX10"/>
    <mergeCell ref="AJ11:AX11"/>
    <mergeCell ref="A12:AX12"/>
    <mergeCell ref="A11:I11"/>
    <mergeCell ref="J11:L11"/>
    <mergeCell ref="M11:P11"/>
    <mergeCell ref="Q11:V11"/>
    <mergeCell ref="W11:X11"/>
    <mergeCell ref="Y11:AI11"/>
    <mergeCell ref="A13:B13"/>
    <mergeCell ref="A21:B21"/>
    <mergeCell ref="C21:D21"/>
    <mergeCell ref="C22:D22"/>
    <mergeCell ref="C19:D19"/>
    <mergeCell ref="C20:D20"/>
    <mergeCell ref="C13:D13"/>
    <mergeCell ref="A5:AX5"/>
    <mergeCell ref="A6:AX6"/>
    <mergeCell ref="A7:I7"/>
    <mergeCell ref="J7:X7"/>
    <mergeCell ref="Y7:AI7"/>
    <mergeCell ref="AJ7:AX7"/>
    <mergeCell ref="A8:I8"/>
    <mergeCell ref="J8:X8"/>
    <mergeCell ref="Y8:AI8"/>
    <mergeCell ref="AJ8:AX8"/>
    <mergeCell ref="S13:U13"/>
    <mergeCell ref="S14:U14"/>
    <mergeCell ref="S15:U15"/>
    <mergeCell ref="S16:U16"/>
    <mergeCell ref="S17:U17"/>
    <mergeCell ref="S18:U18"/>
    <mergeCell ref="S19:U19"/>
    <mergeCell ref="S20:U20"/>
    <mergeCell ref="S21:U21"/>
    <mergeCell ref="C23:D23"/>
    <mergeCell ref="E23:K23"/>
    <mergeCell ref="L18:R18"/>
    <mergeCell ref="L19:R19"/>
    <mergeCell ref="L20:R20"/>
    <mergeCell ref="L21:R21"/>
    <mergeCell ref="L23:R23"/>
    <mergeCell ref="E18:K18"/>
    <mergeCell ref="E19:K19"/>
    <mergeCell ref="E20:K20"/>
    <mergeCell ref="E21:K21"/>
    <mergeCell ref="V13:AX13"/>
    <mergeCell ref="V14:AX14"/>
    <mergeCell ref="V15:AX15"/>
    <mergeCell ref="E22:K22"/>
    <mergeCell ref="S23:U23"/>
    <mergeCell ref="V23:AX23"/>
    <mergeCell ref="V16:AX16"/>
    <mergeCell ref="V17:AX17"/>
    <mergeCell ref="V18:AX18"/>
    <mergeCell ref="V19:AX19"/>
    <mergeCell ref="V20:AX20"/>
    <mergeCell ref="E15:K15"/>
    <mergeCell ref="E16:K16"/>
    <mergeCell ref="E17:K17"/>
    <mergeCell ref="L13:R13"/>
    <mergeCell ref="L14:R14"/>
    <mergeCell ref="L15:R15"/>
    <mergeCell ref="L16:R16"/>
    <mergeCell ref="L17:R17"/>
    <mergeCell ref="V21:AX21"/>
    <mergeCell ref="V22:AX22"/>
    <mergeCell ref="E13:K13"/>
    <mergeCell ref="E14:K14"/>
    <mergeCell ref="S22:U22"/>
    <mergeCell ref="C15:D15"/>
    <mergeCell ref="C16:D16"/>
    <mergeCell ref="C17:D17"/>
    <mergeCell ref="C14:D14"/>
    <mergeCell ref="C18:D18"/>
    <mergeCell ref="A18:B18"/>
    <mergeCell ref="A19:B19"/>
    <mergeCell ref="A20:B20"/>
    <mergeCell ref="L22:R22"/>
    <mergeCell ref="A22:B22"/>
    <mergeCell ref="A14:B14"/>
    <mergeCell ref="A15:B15"/>
    <mergeCell ref="A16:B16"/>
    <mergeCell ref="A17:B17"/>
    <mergeCell ref="A1:B1"/>
    <mergeCell ref="C1:D1"/>
    <mergeCell ref="E1:K1"/>
    <mergeCell ref="L1:R1"/>
    <mergeCell ref="S1:U1"/>
    <mergeCell ref="V1:AX1"/>
    <mergeCell ref="A3:AX3"/>
    <mergeCell ref="A2:AX2"/>
    <mergeCell ref="A4:AX4"/>
  </mergeCells>
  <dataValidations count="2">
    <dataValidation type="date" allowBlank="1" showInputMessage="1" showErrorMessage="1" prompt="Use MM/DD/YYYY format.  Leave blank until date is needed. " sqref="C14:D73" xr:uid="{00000000-0002-0000-0500-000000000000}">
      <formula1>36526</formula1>
      <formula2>46022</formula2>
    </dataValidation>
    <dataValidation allowBlank="1" showInputMessage="1" showErrorMessage="1" prompt="use a number, do NOT use alphabet. " sqref="S14:U73" xr:uid="{B6A6BB1D-B469-45C0-AC92-F66640CD559E}"/>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'pick list '!$B$2:$B$13</xm:f>
          </x14:formula1>
          <xm:sqref>M11:P11</xm:sqref>
        </x14:dataValidation>
        <x14:dataValidation type="list" allowBlank="1" showInputMessage="1" showErrorMessage="1" prompt="Select an option from drop-down list. " xr:uid="{60434DC3-2CED-49FA-A376-1C987902492D}">
          <x14:formula1>
            <xm:f>'pick list '!$Q$25:$Q$27</xm:f>
          </x14:formula1>
          <xm:sqref>E14:K73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EG164"/>
  <sheetViews>
    <sheetView topLeftCell="AN1" zoomScale="90" zoomScaleNormal="90" workbookViewId="0">
      <pane ySplit="3" topLeftCell="A13" activePane="bottomLeft" state="frozen"/>
      <selection pane="bottomLeft" activeCell="Y24" sqref="Y24:AC24"/>
    </sheetView>
  </sheetViews>
  <sheetFormatPr defaultColWidth="8.85546875" defaultRowHeight="15" x14ac:dyDescent="0.25"/>
  <cols>
    <col min="1" max="6" width="4.28515625" customWidth="1"/>
    <col min="7" max="7" width="5" customWidth="1"/>
    <col min="8" max="9" width="4.28515625" customWidth="1"/>
    <col min="10" max="10" width="3.7109375" customWidth="1"/>
    <col min="11" max="11" width="4.28515625" customWidth="1"/>
    <col min="12" max="12" width="5.28515625" customWidth="1"/>
    <col min="13" max="13" width="4.28515625" customWidth="1"/>
    <col min="14" max="14" width="4.7109375" customWidth="1"/>
    <col min="15" max="48" width="4.28515625" customWidth="1"/>
    <col min="49" max="69" width="4.7109375" customWidth="1"/>
    <col min="70" max="70" width="5.140625" customWidth="1"/>
    <col min="71" max="149" width="4.7109375" customWidth="1"/>
  </cols>
  <sheetData>
    <row r="1" spans="1:75" ht="18.75" x14ac:dyDescent="0.25">
      <c r="A1" s="597" t="str">
        <f>'BASE GRANTEE SET UP &amp; INFO'!A1</f>
        <v>WV Bureau for Behavioral Health and Health Facilities - Traumatic Brain Injury (TBI) Program V20210501</v>
      </c>
      <c r="B1" s="590"/>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41"/>
      <c r="BB1" s="41"/>
    </row>
    <row r="2" spans="1:75" ht="18.75" x14ac:dyDescent="0.25">
      <c r="A2" s="597" t="str">
        <f>'BASE GRANTEE SET UP &amp; INFO'!A2</f>
        <v>Fiscal Year 2022 (July 1, 2021- June 30, 2022) includes data elements from previous years</v>
      </c>
      <c r="B2" s="590"/>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c r="AJ2" s="590"/>
      <c r="AK2" s="590"/>
      <c r="AL2" s="590"/>
      <c r="AM2" s="590"/>
      <c r="AN2" s="590"/>
      <c r="AO2" s="590"/>
      <c r="AP2" s="590"/>
      <c r="AQ2" s="590"/>
      <c r="AR2" s="590"/>
      <c r="AS2" s="590"/>
      <c r="AT2" s="590"/>
      <c r="AU2" s="590"/>
      <c r="AV2" s="590"/>
      <c r="AW2" s="590"/>
      <c r="AX2" s="590"/>
      <c r="AY2" s="590"/>
      <c r="AZ2" s="590"/>
      <c r="BA2" s="41"/>
      <c r="BB2" s="41"/>
    </row>
    <row r="3" spans="1:75" ht="15.75" x14ac:dyDescent="0.25">
      <c r="A3" s="1059" t="str">
        <f>'BASE GRANTEE SET UP &amp; INFO'!A3</f>
        <v xml:space="preserve">Program reports need to be submitted electronically, via e-mail to DHHRBBHReporting@wv.gov within 25 calendar days of the end of each month </v>
      </c>
      <c r="B3" s="591"/>
      <c r="C3" s="591"/>
      <c r="D3" s="591"/>
      <c r="E3" s="591"/>
      <c r="F3" s="591"/>
      <c r="G3" s="591"/>
      <c r="H3" s="591"/>
      <c r="I3" s="591"/>
      <c r="J3" s="591"/>
      <c r="K3" s="591"/>
      <c r="L3" s="591"/>
      <c r="M3" s="591"/>
      <c r="N3" s="591"/>
      <c r="O3" s="591"/>
      <c r="P3" s="591"/>
      <c r="Q3" s="591"/>
      <c r="R3" s="591"/>
      <c r="S3" s="591"/>
      <c r="T3" s="591"/>
      <c r="U3" s="591"/>
      <c r="V3" s="591"/>
      <c r="W3" s="591"/>
      <c r="X3" s="591"/>
      <c r="Y3" s="591"/>
      <c r="Z3" s="591"/>
      <c r="AA3" s="591"/>
      <c r="AB3" s="591"/>
      <c r="AC3" s="591"/>
      <c r="AD3" s="591"/>
      <c r="AE3" s="591"/>
      <c r="AF3" s="591"/>
      <c r="AG3" s="591"/>
      <c r="AH3" s="591"/>
      <c r="AI3" s="591"/>
      <c r="AJ3" s="591"/>
      <c r="AK3" s="591"/>
      <c r="AL3" s="591"/>
      <c r="AM3" s="591"/>
      <c r="AN3" s="591"/>
      <c r="AO3" s="591"/>
      <c r="AP3" s="591"/>
      <c r="AQ3" s="591"/>
      <c r="AR3" s="591"/>
      <c r="AS3" s="591"/>
      <c r="AT3" s="591"/>
      <c r="AU3" s="591"/>
      <c r="AV3" s="591"/>
      <c r="AW3" s="591"/>
      <c r="AX3" s="591"/>
      <c r="AY3" s="591"/>
      <c r="AZ3" s="591"/>
      <c r="BA3" s="42"/>
      <c r="BB3" s="42"/>
    </row>
    <row r="4" spans="1:75" ht="15.75" x14ac:dyDescent="0.25">
      <c r="A4" s="995" t="s">
        <v>337</v>
      </c>
      <c r="B4" s="995"/>
      <c r="C4" s="995"/>
      <c r="D4" s="995"/>
      <c r="E4" s="995"/>
      <c r="F4" s="995"/>
      <c r="G4" s="995"/>
      <c r="H4" s="995"/>
      <c r="I4" s="995"/>
      <c r="J4" s="995"/>
      <c r="K4" s="995"/>
      <c r="L4" s="995"/>
      <c r="M4" s="995"/>
      <c r="N4" s="995"/>
      <c r="O4" s="995"/>
      <c r="P4" s="995"/>
      <c r="Q4" s="995"/>
      <c r="R4" s="995"/>
      <c r="S4" s="995"/>
      <c r="T4" s="995"/>
      <c r="U4" s="995"/>
      <c r="V4" s="995"/>
      <c r="W4" s="995"/>
      <c r="X4" s="995"/>
      <c r="Y4" s="995"/>
      <c r="Z4" s="995"/>
      <c r="AA4" s="995"/>
      <c r="AB4" s="995"/>
      <c r="AC4" s="995"/>
      <c r="AD4" s="995"/>
      <c r="AE4" s="995"/>
      <c r="AF4" s="995"/>
      <c r="AG4" s="995"/>
      <c r="AH4" s="995"/>
      <c r="AI4" s="995"/>
      <c r="AJ4" s="995"/>
      <c r="AK4" s="995"/>
      <c r="AL4" s="995"/>
      <c r="AM4" s="995"/>
      <c r="AN4" s="995"/>
      <c r="AO4" s="995"/>
      <c r="AP4" s="995"/>
      <c r="AQ4" s="995"/>
      <c r="AR4" s="995"/>
      <c r="AS4" s="995"/>
      <c r="AT4" s="995"/>
      <c r="AU4" s="995"/>
      <c r="AV4" s="995"/>
      <c r="AW4" s="76"/>
      <c r="AX4" s="76"/>
      <c r="AY4" s="76"/>
      <c r="AZ4" s="76"/>
      <c r="BA4" s="42"/>
    </row>
    <row r="5" spans="1:75" x14ac:dyDescent="0.25">
      <c r="A5" s="871" t="s">
        <v>204</v>
      </c>
      <c r="B5" s="871"/>
      <c r="C5" s="871"/>
      <c r="D5" s="871"/>
      <c r="E5" s="871"/>
      <c r="F5" s="871"/>
      <c r="G5" s="871"/>
      <c r="H5" s="871"/>
      <c r="I5" s="871"/>
      <c r="J5" s="872" t="str">
        <f>'BASE GRANTEE SET UP &amp; INFO'!G5</f>
        <v xml:space="preserve">Traumatic Brain Injury (TBI) Program </v>
      </c>
      <c r="K5" s="873"/>
      <c r="L5" s="873"/>
      <c r="M5" s="873"/>
      <c r="N5" s="873"/>
      <c r="O5" s="873"/>
      <c r="P5" s="873"/>
      <c r="Q5" s="873"/>
      <c r="R5" s="873"/>
      <c r="S5" s="873"/>
      <c r="T5" s="873"/>
      <c r="U5" s="873"/>
      <c r="V5" s="873"/>
      <c r="W5" s="874"/>
      <c r="X5" s="875" t="s">
        <v>31</v>
      </c>
      <c r="Y5" s="875"/>
      <c r="Z5" s="875"/>
      <c r="AA5" s="875"/>
      <c r="AB5" s="875"/>
      <c r="AC5" s="875"/>
      <c r="AD5" s="875"/>
      <c r="AE5" s="875"/>
      <c r="AF5" s="875"/>
      <c r="AG5" s="875"/>
      <c r="AH5" s="583" t="str">
        <f>'BASE GRANTEE SET UP &amp; INFO'!Y5</f>
        <v xml:space="preserve">WV University Research Corporation - WVU Center of Excellence in Disabilities </v>
      </c>
      <c r="AI5" s="584"/>
      <c r="AJ5" s="584"/>
      <c r="AK5" s="584"/>
      <c r="AL5" s="584"/>
      <c r="AM5" s="584"/>
      <c r="AN5" s="584"/>
      <c r="AO5" s="584"/>
      <c r="AP5" s="584"/>
      <c r="AQ5" s="584"/>
      <c r="AR5" s="584"/>
      <c r="AS5" s="584"/>
      <c r="AT5" s="584"/>
      <c r="AU5" s="584"/>
      <c r="AV5" s="584"/>
      <c r="AW5" s="584"/>
      <c r="AX5" s="584"/>
      <c r="AY5" s="584"/>
      <c r="AZ5" s="585"/>
    </row>
    <row r="6" spans="1:75" x14ac:dyDescent="0.25">
      <c r="A6" s="612" t="s">
        <v>207</v>
      </c>
      <c r="B6" s="612"/>
      <c r="C6" s="612"/>
      <c r="D6" s="612"/>
      <c r="E6" s="612"/>
      <c r="F6" s="612"/>
      <c r="G6" s="612"/>
      <c r="H6" s="612"/>
      <c r="I6" s="612"/>
      <c r="J6" s="583" t="str">
        <f>'BASE GRANTEE SET UP &amp; INFO'!G6</f>
        <v xml:space="preserve">TBI Program </v>
      </c>
      <c r="K6" s="584"/>
      <c r="L6" s="584"/>
      <c r="M6" s="584"/>
      <c r="N6" s="584"/>
      <c r="O6" s="584"/>
      <c r="P6" s="584"/>
      <c r="Q6" s="584"/>
      <c r="R6" s="584"/>
      <c r="S6" s="584"/>
      <c r="T6" s="584"/>
      <c r="U6" s="584"/>
      <c r="V6" s="584"/>
      <c r="W6" s="585"/>
      <c r="X6" s="650" t="s">
        <v>209</v>
      </c>
      <c r="Y6" s="650"/>
      <c r="Z6" s="650"/>
      <c r="AA6" s="650"/>
      <c r="AB6" s="650"/>
      <c r="AC6" s="650"/>
      <c r="AD6" s="650"/>
      <c r="AE6" s="650"/>
      <c r="AF6" s="650"/>
      <c r="AG6" s="650"/>
      <c r="AH6" s="583">
        <f>'BASE GRANTEE SET UP &amp; INFO'!Y6</f>
        <v>0</v>
      </c>
      <c r="AI6" s="584"/>
      <c r="AJ6" s="584"/>
      <c r="AK6" s="584"/>
      <c r="AL6" s="584"/>
      <c r="AM6" s="584"/>
      <c r="AN6" s="584"/>
      <c r="AO6" s="584"/>
      <c r="AP6" s="584"/>
      <c r="AQ6" s="584"/>
      <c r="AR6" s="584"/>
      <c r="AS6" s="584"/>
      <c r="AT6" s="584"/>
      <c r="AU6" s="584"/>
      <c r="AV6" s="584"/>
      <c r="AW6" s="584"/>
      <c r="AX6" s="584"/>
      <c r="AY6" s="584"/>
      <c r="AZ6" s="585"/>
    </row>
    <row r="7" spans="1:75" x14ac:dyDescent="0.25">
      <c r="A7" s="506" t="s">
        <v>210</v>
      </c>
      <c r="B7" s="507"/>
      <c r="C7" s="507"/>
      <c r="D7" s="507"/>
      <c r="E7" s="507"/>
      <c r="F7" s="507"/>
      <c r="G7" s="507"/>
      <c r="H7" s="507"/>
      <c r="I7" s="508"/>
      <c r="J7" s="604" t="str">
        <f>'BASE GRANTEE SET UP &amp; INFO'!G7</f>
        <v>959 Hartman Run Road, Morgantown, WV 26506</v>
      </c>
      <c r="K7" s="605"/>
      <c r="L7" s="605"/>
      <c r="M7" s="605"/>
      <c r="N7" s="605"/>
      <c r="O7" s="605"/>
      <c r="P7" s="605"/>
      <c r="Q7" s="605"/>
      <c r="R7" s="605"/>
      <c r="S7" s="605"/>
      <c r="T7" s="605"/>
      <c r="U7" s="605"/>
      <c r="V7" s="605"/>
      <c r="W7" s="615"/>
      <c r="X7" s="650" t="s">
        <v>212</v>
      </c>
      <c r="Y7" s="650"/>
      <c r="Z7" s="650"/>
      <c r="AA7" s="650"/>
      <c r="AB7" s="650"/>
      <c r="AC7" s="650"/>
      <c r="AD7" s="650"/>
      <c r="AE7" s="650"/>
      <c r="AF7" s="650"/>
      <c r="AG7" s="650"/>
      <c r="AH7" s="583">
        <f>'BASE GRANTEE SET UP &amp; INFO'!Y7</f>
        <v>0</v>
      </c>
      <c r="AI7" s="584"/>
      <c r="AJ7" s="584"/>
      <c r="AK7" s="584"/>
      <c r="AL7" s="584"/>
      <c r="AM7" s="584"/>
      <c r="AN7" s="584"/>
      <c r="AO7" s="584"/>
      <c r="AP7" s="584"/>
      <c r="AQ7" s="584"/>
      <c r="AR7" s="584"/>
      <c r="AS7" s="584"/>
      <c r="AT7" s="584"/>
      <c r="AU7" s="584"/>
      <c r="AV7" s="584"/>
      <c r="AW7" s="584"/>
      <c r="AX7" s="584"/>
      <c r="AY7" s="584"/>
      <c r="AZ7" s="585"/>
    </row>
    <row r="8" spans="1:75" x14ac:dyDescent="0.25">
      <c r="A8" s="509"/>
      <c r="B8" s="510"/>
      <c r="C8" s="510"/>
      <c r="D8" s="510"/>
      <c r="E8" s="510"/>
      <c r="F8" s="510"/>
      <c r="G8" s="510"/>
      <c r="H8" s="510"/>
      <c r="I8" s="511"/>
      <c r="J8" s="606"/>
      <c r="K8" s="607"/>
      <c r="L8" s="607"/>
      <c r="M8" s="607"/>
      <c r="N8" s="607"/>
      <c r="O8" s="607"/>
      <c r="P8" s="607"/>
      <c r="Q8" s="607"/>
      <c r="R8" s="607"/>
      <c r="S8" s="607"/>
      <c r="T8" s="607"/>
      <c r="U8" s="607"/>
      <c r="V8" s="607"/>
      <c r="W8" s="616"/>
      <c r="X8" s="612" t="s">
        <v>213</v>
      </c>
      <c r="Y8" s="612"/>
      <c r="Z8" s="612"/>
      <c r="AA8" s="612"/>
      <c r="AB8" s="612"/>
      <c r="AC8" s="612"/>
      <c r="AD8" s="612"/>
      <c r="AE8" s="612"/>
      <c r="AF8" s="612"/>
      <c r="AG8" s="612"/>
      <c r="AH8" s="583">
        <f>'BASE GRANTEE SET UP &amp; INFO'!Y8</f>
        <v>0</v>
      </c>
      <c r="AI8" s="584"/>
      <c r="AJ8" s="584"/>
      <c r="AK8" s="584"/>
      <c r="AL8" s="584"/>
      <c r="AM8" s="584"/>
      <c r="AN8" s="584"/>
      <c r="AO8" s="584"/>
      <c r="AP8" s="584"/>
      <c r="AQ8" s="584"/>
      <c r="AR8" s="584"/>
      <c r="AS8" s="584"/>
      <c r="AT8" s="584"/>
      <c r="AU8" s="584"/>
      <c r="AV8" s="584"/>
      <c r="AW8" s="584"/>
      <c r="AX8" s="584"/>
      <c r="AY8" s="584"/>
      <c r="AZ8" s="585"/>
    </row>
    <row r="9" spans="1:75" ht="21" x14ac:dyDescent="0.25">
      <c r="A9" s="876" t="s">
        <v>338</v>
      </c>
      <c r="B9" s="876"/>
      <c r="C9" s="876"/>
      <c r="D9" s="876"/>
      <c r="E9" s="876"/>
      <c r="F9" s="876"/>
      <c r="G9" s="876"/>
      <c r="H9" s="876"/>
      <c r="I9" s="876"/>
      <c r="J9" s="876"/>
      <c r="K9" s="876"/>
      <c r="L9" s="876"/>
      <c r="M9" s="876"/>
      <c r="N9" s="876"/>
      <c r="O9" s="876"/>
      <c r="P9" s="876"/>
      <c r="Q9" s="876"/>
      <c r="R9" s="876"/>
      <c r="S9" s="876"/>
      <c r="T9" s="876"/>
      <c r="U9" s="876"/>
      <c r="V9" s="876"/>
      <c r="W9" s="876"/>
      <c r="X9" s="876"/>
      <c r="Y9" s="876"/>
      <c r="Z9" s="876"/>
      <c r="AA9" s="876"/>
      <c r="AB9" s="876"/>
      <c r="AC9" s="876"/>
      <c r="AD9" s="876"/>
      <c r="AE9" s="876"/>
      <c r="AF9" s="876"/>
      <c r="AG9" s="876"/>
      <c r="AH9" s="876"/>
      <c r="AI9" s="876"/>
      <c r="AJ9" s="876"/>
      <c r="AK9" s="876"/>
      <c r="AL9" s="876"/>
      <c r="AM9" s="876"/>
      <c r="AN9" s="876"/>
      <c r="AO9" s="876"/>
      <c r="AP9" s="876"/>
      <c r="AQ9" s="876"/>
      <c r="AR9" s="876"/>
      <c r="AS9" s="876"/>
      <c r="AT9" s="876"/>
      <c r="AU9" s="876"/>
      <c r="AV9" s="876"/>
      <c r="AW9" s="13"/>
      <c r="AX9" s="13"/>
      <c r="AY9" s="13"/>
      <c r="AZ9" s="13"/>
    </row>
    <row r="10" spans="1:75" ht="21" x14ac:dyDescent="0.2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13"/>
      <c r="AX10" s="13"/>
      <c r="AY10" s="13"/>
      <c r="AZ10" s="13"/>
    </row>
    <row r="11" spans="1:75" ht="21" customHeight="1" x14ac:dyDescent="0.25">
      <c r="A11" s="682" t="s">
        <v>339</v>
      </c>
      <c r="B11" s="682"/>
      <c r="C11" s="682"/>
      <c r="D11" s="682"/>
      <c r="E11" s="682"/>
      <c r="F11" s="682"/>
      <c r="G11" s="682"/>
      <c r="H11" s="682"/>
      <c r="I11" s="682"/>
      <c r="J11" s="682"/>
      <c r="K11" s="682"/>
      <c r="L11" s="682"/>
      <c r="M11" s="682"/>
      <c r="N11" s="682"/>
      <c r="O11" s="682"/>
      <c r="P11" s="682"/>
      <c r="Q11" s="682"/>
      <c r="R11" s="682"/>
      <c r="S11" s="682"/>
      <c r="T11" s="682"/>
      <c r="U11" s="682"/>
      <c r="V11" s="682"/>
      <c r="W11" s="682"/>
      <c r="X11" s="682"/>
      <c r="Y11" s="682"/>
      <c r="Z11" s="682"/>
      <c r="AA11" s="682"/>
      <c r="AB11" s="682"/>
      <c r="AC11" s="682"/>
      <c r="AD11" s="682"/>
      <c r="AE11" s="682"/>
      <c r="AF11" s="682"/>
      <c r="AG11" s="682"/>
      <c r="AH11" s="682"/>
      <c r="AI11" s="682"/>
      <c r="AJ11" s="682"/>
      <c r="AK11" s="682"/>
      <c r="AL11" s="682"/>
      <c r="AM11" s="682"/>
      <c r="AN11" s="682"/>
      <c r="AO11" s="682"/>
      <c r="AP11" s="682"/>
      <c r="AQ11" s="682"/>
      <c r="AR11" s="682"/>
      <c r="AS11" s="682"/>
      <c r="AT11" s="682"/>
      <c r="AU11" s="682"/>
      <c r="AV11" s="682"/>
      <c r="AW11" s="682"/>
      <c r="AX11" s="682"/>
      <c r="AY11" s="682"/>
      <c r="AZ11" s="13"/>
    </row>
    <row r="12" spans="1:75" ht="21" customHeight="1" x14ac:dyDescent="0.25">
      <c r="A12" s="286"/>
      <c r="B12" s="286"/>
      <c r="C12" s="286"/>
      <c r="D12" s="286"/>
      <c r="E12" s="286"/>
      <c r="F12" s="286"/>
      <c r="G12" s="286"/>
      <c r="H12" s="286"/>
      <c r="I12" s="286"/>
      <c r="J12" s="286"/>
      <c r="K12" s="286"/>
      <c r="L12" s="286"/>
      <c r="M12" s="286"/>
      <c r="N12" s="286"/>
      <c r="O12" s="286"/>
      <c r="P12" s="286"/>
      <c r="Q12" s="286"/>
      <c r="R12" s="286"/>
      <c r="S12" s="286"/>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8"/>
      <c r="AS12" s="288"/>
      <c r="AT12" s="288"/>
      <c r="AU12" s="288"/>
      <c r="AV12" s="208"/>
      <c r="AW12" s="208"/>
      <c r="AX12" s="208"/>
    </row>
    <row r="13" spans="1:75" ht="39.950000000000003" customHeight="1" x14ac:dyDescent="0.25">
      <c r="A13" s="990" t="s">
        <v>340</v>
      </c>
      <c r="B13" s="990"/>
      <c r="C13" s="990"/>
      <c r="D13" s="990"/>
      <c r="E13" s="990"/>
      <c r="F13" s="990"/>
      <c r="G13" s="990"/>
      <c r="H13" s="990"/>
      <c r="I13" s="990"/>
      <c r="J13" s="990"/>
      <c r="K13" s="991"/>
      <c r="L13" s="989" t="s">
        <v>341</v>
      </c>
      <c r="M13" s="989"/>
      <c r="N13" s="989"/>
      <c r="O13" s="989"/>
      <c r="P13" s="683" t="s">
        <v>342</v>
      </c>
      <c r="Q13" s="684"/>
      <c r="R13" s="684"/>
      <c r="S13" s="684"/>
      <c r="T13" s="683" t="s">
        <v>343</v>
      </c>
      <c r="U13" s="684"/>
      <c r="V13" s="684"/>
      <c r="W13" s="684"/>
      <c r="X13" s="683" t="s">
        <v>344</v>
      </c>
      <c r="Y13" s="684"/>
      <c r="Z13" s="684"/>
      <c r="AA13" s="684"/>
      <c r="AB13" s="683" t="s">
        <v>345</v>
      </c>
      <c r="AC13" s="684"/>
      <c r="AD13" s="684"/>
      <c r="AE13" s="684"/>
      <c r="AF13" s="683" t="s">
        <v>346</v>
      </c>
      <c r="AG13" s="684"/>
      <c r="AH13" s="684"/>
      <c r="AI13" s="684"/>
      <c r="AJ13" s="683" t="s">
        <v>347</v>
      </c>
      <c r="AK13" s="684"/>
      <c r="AL13" s="684"/>
      <c r="AM13" s="684"/>
      <c r="AN13" s="683" t="s">
        <v>348</v>
      </c>
      <c r="AO13" s="684"/>
      <c r="AP13" s="684"/>
      <c r="AQ13" s="684"/>
      <c r="AR13" s="683" t="s">
        <v>349</v>
      </c>
      <c r="AS13" s="684"/>
      <c r="AT13" s="684"/>
      <c r="AU13" s="684"/>
      <c r="AV13" s="683" t="s">
        <v>350</v>
      </c>
      <c r="AW13" s="684"/>
      <c r="AX13" s="684"/>
      <c r="AY13" s="684"/>
      <c r="AZ13" s="683" t="s">
        <v>351</v>
      </c>
      <c r="BA13" s="684"/>
      <c r="BB13" s="684"/>
      <c r="BC13" s="684"/>
      <c r="BD13" s="683" t="s">
        <v>352</v>
      </c>
      <c r="BE13" s="684"/>
      <c r="BF13" s="684"/>
      <c r="BG13" s="684"/>
      <c r="BH13" s="683" t="s">
        <v>353</v>
      </c>
      <c r="BI13" s="684"/>
      <c r="BJ13" s="684"/>
      <c r="BK13" s="684"/>
      <c r="BL13" s="683" t="s">
        <v>354</v>
      </c>
      <c r="BM13" s="684"/>
      <c r="BN13" s="684"/>
      <c r="BO13" s="684"/>
      <c r="BP13" s="683" t="s">
        <v>800</v>
      </c>
      <c r="BQ13" s="684"/>
      <c r="BR13" s="684"/>
      <c r="BS13" s="684"/>
      <c r="BT13" s="989" t="s">
        <v>355</v>
      </c>
      <c r="BU13" s="989"/>
      <c r="BV13" s="989"/>
      <c r="BW13" s="989"/>
    </row>
    <row r="14" spans="1:75" ht="39.950000000000003" customHeight="1" x14ac:dyDescent="0.25">
      <c r="A14" s="674" t="s">
        <v>356</v>
      </c>
      <c r="B14" s="674"/>
      <c r="C14" s="674"/>
      <c r="D14" s="674"/>
      <c r="E14" s="674"/>
      <c r="F14" s="674"/>
      <c r="G14" s="674"/>
      <c r="H14" s="674"/>
      <c r="I14" s="674"/>
      <c r="J14" s="674"/>
      <c r="K14" s="675"/>
      <c r="L14" s="676">
        <v>0</v>
      </c>
      <c r="M14" s="677"/>
      <c r="N14" s="677"/>
      <c r="O14" s="678"/>
      <c r="P14" s="665">
        <f>L14+L18</f>
        <v>0</v>
      </c>
      <c r="Q14" s="666"/>
      <c r="R14" s="666"/>
      <c r="S14" s="667"/>
      <c r="T14" s="665">
        <f>P14+P18</f>
        <v>0</v>
      </c>
      <c r="U14" s="666"/>
      <c r="V14" s="666"/>
      <c r="W14" s="667"/>
      <c r="X14" s="665">
        <f>T14+T18</f>
        <v>0</v>
      </c>
      <c r="Y14" s="666"/>
      <c r="Z14" s="666"/>
      <c r="AA14" s="667"/>
      <c r="AB14" s="665">
        <f>X14+X18</f>
        <v>0</v>
      </c>
      <c r="AC14" s="666"/>
      <c r="AD14" s="666"/>
      <c r="AE14" s="667"/>
      <c r="AF14" s="665">
        <f>AB14+AB18</f>
        <v>0</v>
      </c>
      <c r="AG14" s="666"/>
      <c r="AH14" s="666"/>
      <c r="AI14" s="667"/>
      <c r="AJ14" s="665">
        <f>AF14+AF18</f>
        <v>0</v>
      </c>
      <c r="AK14" s="666"/>
      <c r="AL14" s="666"/>
      <c r="AM14" s="667"/>
      <c r="AN14" s="665">
        <f>AJ14+AJ18</f>
        <v>0</v>
      </c>
      <c r="AO14" s="666"/>
      <c r="AP14" s="666"/>
      <c r="AQ14" s="667"/>
      <c r="AR14" s="665">
        <f>AN14+AN18</f>
        <v>0</v>
      </c>
      <c r="AS14" s="666"/>
      <c r="AT14" s="666"/>
      <c r="AU14" s="667"/>
      <c r="AV14" s="665">
        <f>AR14+AR18</f>
        <v>0</v>
      </c>
      <c r="AW14" s="666"/>
      <c r="AX14" s="666"/>
      <c r="AY14" s="667"/>
      <c r="AZ14" s="665">
        <f>AV14+AV18</f>
        <v>0</v>
      </c>
      <c r="BA14" s="666"/>
      <c r="BB14" s="666"/>
      <c r="BC14" s="667"/>
      <c r="BD14" s="665">
        <f>AZ14+AZ18</f>
        <v>0</v>
      </c>
      <c r="BE14" s="666"/>
      <c r="BF14" s="666"/>
      <c r="BG14" s="667"/>
      <c r="BH14" s="668">
        <f>BD14+BD18</f>
        <v>0</v>
      </c>
      <c r="BI14" s="669"/>
      <c r="BJ14" s="669"/>
      <c r="BK14" s="670"/>
      <c r="BL14" s="671">
        <f>BH14+BH18</f>
        <v>-1</v>
      </c>
      <c r="BM14" s="672"/>
      <c r="BN14" s="672"/>
      <c r="BO14" s="673"/>
      <c r="BP14" s="671">
        <f>BL14+BL18</f>
        <v>-1</v>
      </c>
      <c r="BQ14" s="672"/>
      <c r="BR14" s="672"/>
      <c r="BS14" s="673"/>
      <c r="BT14" s="679"/>
      <c r="BU14" s="680"/>
      <c r="BV14" s="680"/>
      <c r="BW14" s="681"/>
    </row>
    <row r="15" spans="1:75" ht="39.950000000000003" customHeight="1" x14ac:dyDescent="0.25">
      <c r="A15" s="983" t="s">
        <v>357</v>
      </c>
      <c r="B15" s="984"/>
      <c r="C15" s="984"/>
      <c r="D15" s="984"/>
      <c r="E15" s="984"/>
      <c r="F15" s="984"/>
      <c r="G15" s="984"/>
      <c r="H15" s="984"/>
      <c r="I15" s="984"/>
      <c r="J15" s="984"/>
      <c r="K15" s="984"/>
      <c r="L15" s="855">
        <f>COUNTIFS('RC and FUNDS FOR YOU'!B15:B4897,"&gt;=07/01/2000",'RC and FUNDS FOR YOU'!B15:B4897,"&lt;=06/30/2009")</f>
        <v>0</v>
      </c>
      <c r="M15" s="856"/>
      <c r="N15" s="856"/>
      <c r="O15" s="857"/>
      <c r="P15" s="855">
        <f>COUNTIFS('RC and FUNDS FOR YOU'!B15:B4897,"&gt;=07/01/2009",'RC and FUNDS FOR YOU'!B15:B4897,"&lt;=06/30/2010")</f>
        <v>0</v>
      </c>
      <c r="Q15" s="856"/>
      <c r="R15" s="856"/>
      <c r="S15" s="857"/>
      <c r="T15" s="855">
        <f>COUNTIFS('RC and FUNDS FOR YOU'!B15:B4897,"&gt;=07/01/2010",'RC and FUNDS FOR YOU'!B15:B4897,"&lt;=06/30/2011")</f>
        <v>0</v>
      </c>
      <c r="U15" s="856"/>
      <c r="V15" s="856"/>
      <c r="W15" s="857"/>
      <c r="X15" s="855">
        <f>COUNTIFS('RC and FUNDS FOR YOU'!B15:B4897,"&gt;=07/01/2011",'RC and FUNDS FOR YOU'!B15:B4897,"&lt;=06/30/2012")</f>
        <v>0</v>
      </c>
      <c r="Y15" s="856"/>
      <c r="Z15" s="856"/>
      <c r="AA15" s="857"/>
      <c r="AB15" s="855">
        <f>COUNTIFS('RC and FUNDS FOR YOU'!B15:B4897,"&gt;=07/01/2012",'RC and FUNDS FOR YOU'!B15:B4897,"&lt;=06/30/2013")</f>
        <v>0</v>
      </c>
      <c r="AC15" s="856"/>
      <c r="AD15" s="856"/>
      <c r="AE15" s="857"/>
      <c r="AF15" s="855">
        <f>COUNTIFS('RC and FUNDS FOR YOU'!B15:B4897,"&gt;=07/01/2013",'RC and FUNDS FOR YOU'!B15:B4897,"&lt;=06/30/2014")</f>
        <v>0</v>
      </c>
      <c r="AG15" s="856"/>
      <c r="AH15" s="856"/>
      <c r="AI15" s="857"/>
      <c r="AJ15" s="855">
        <f>COUNTIFS('RC and FUNDS FOR YOU'!B15:B4897,"&gt;=07/01/2014",'RC and FUNDS FOR YOU'!B15:B4897,"&lt;=06/30/2015")</f>
        <v>0</v>
      </c>
      <c r="AK15" s="856"/>
      <c r="AL15" s="856"/>
      <c r="AM15" s="857"/>
      <c r="AN15" s="855">
        <f>COUNTIFS('RC and FUNDS FOR YOU'!B15:B4897,"&gt;=07/01/2015",'RC and FUNDS FOR YOU'!B15:B4897,"&lt;=06/30/2016")</f>
        <v>0</v>
      </c>
      <c r="AO15" s="856"/>
      <c r="AP15" s="856"/>
      <c r="AQ15" s="857"/>
      <c r="AR15" s="855">
        <f>COUNTIFS('RC and FUNDS FOR YOU'!B15:B4897,"&gt;=07/01/2016",'RC and FUNDS FOR YOU'!B15:B4897,"&lt;=06/30/2017")</f>
        <v>0</v>
      </c>
      <c r="AS15" s="856"/>
      <c r="AT15" s="856"/>
      <c r="AU15" s="857"/>
      <c r="AV15" s="855">
        <f>COUNTIFS('RC and FUNDS FOR YOU'!B15:B4897,"&gt;=07/01/2017",'RC and FUNDS FOR YOU'!B15:B4897,"&lt;=06/30/2018")</f>
        <v>0</v>
      </c>
      <c r="AW15" s="856"/>
      <c r="AX15" s="856"/>
      <c r="AY15" s="857"/>
      <c r="AZ15" s="855">
        <f>COUNTIFS('RC and FUNDS FOR YOU'!B15:B4897,"&gt;=07/01/2018",'RC and FUNDS FOR YOU'!B15:B4897,"&lt;=06/30/2019")</f>
        <v>0</v>
      </c>
      <c r="BA15" s="856"/>
      <c r="BB15" s="856"/>
      <c r="BC15" s="857"/>
      <c r="BD15" s="855">
        <f>COUNTIFS('RC and FUNDS FOR YOU'!B15:B4897,"&gt;=07/01/2019",'RC and FUNDS FOR YOU'!B15:B4897,"&lt;=06/30/2020")</f>
        <v>0</v>
      </c>
      <c r="BE15" s="856"/>
      <c r="BF15" s="856"/>
      <c r="BG15" s="857"/>
      <c r="BH15" s="855">
        <f>COUNTIFS('RC and FUNDS FOR YOU'!B15:B4897,"&gt;=07/01/2020",'RC and FUNDS FOR YOU'!B15:B4897,"&lt;=06/30/2021")</f>
        <v>0</v>
      </c>
      <c r="BI15" s="856"/>
      <c r="BJ15" s="856"/>
      <c r="BK15" s="857"/>
      <c r="BL15" s="855">
        <f>COUNTIFS('RC and FUNDS FOR YOU'!B15:B4897,"&gt;=07/01/2021",'RC and FUNDS FOR YOU'!B15:B4897,"&lt;=06/30/2022")</f>
        <v>0</v>
      </c>
      <c r="BM15" s="856"/>
      <c r="BN15" s="856"/>
      <c r="BO15" s="857"/>
      <c r="BP15" s="855">
        <f>COUNTIFS('RC and FUNDS FOR YOU'!F15:F4897,"&gt;=07/01/2022",'RC and FUNDS FOR YOU'!F15:F4897,"&lt;=06/30/2023")</f>
        <v>0</v>
      </c>
      <c r="BQ15" s="856"/>
      <c r="BR15" s="856"/>
      <c r="BS15" s="857"/>
      <c r="BT15" s="1071">
        <f>SUM(L15:BO15)</f>
        <v>0</v>
      </c>
      <c r="BU15" s="1071"/>
      <c r="BV15" s="1071"/>
      <c r="BW15" s="1071"/>
    </row>
    <row r="16" spans="1:75" ht="39.950000000000003" customHeight="1" x14ac:dyDescent="0.25">
      <c r="A16" s="985" t="s">
        <v>358</v>
      </c>
      <c r="B16" s="986"/>
      <c r="C16" s="986"/>
      <c r="D16" s="986"/>
      <c r="E16" s="986"/>
      <c r="F16" s="986"/>
      <c r="G16" s="986"/>
      <c r="H16" s="986"/>
      <c r="I16" s="986"/>
      <c r="J16" s="986"/>
      <c r="K16" s="987"/>
      <c r="L16" s="852">
        <f>COUNTIFS('RC and FUNDS FOR YOU'!M15:M4897,"&gt;=07/01/2000",'RC and FUNDS FOR YOU'!M15:M4897,"&lt;=06/30/2009")</f>
        <v>0</v>
      </c>
      <c r="M16" s="853"/>
      <c r="N16" s="853"/>
      <c r="O16" s="854"/>
      <c r="P16" s="852">
        <f>COUNTIFS('RC and FUNDS FOR YOU'!M15:M4897,"&gt;=07/01/2009",'RC and FUNDS FOR YOU'!M15:M4897,"&lt;=06/30/2010")</f>
        <v>0</v>
      </c>
      <c r="Q16" s="853"/>
      <c r="R16" s="853"/>
      <c r="S16" s="854"/>
      <c r="T16" s="852">
        <f>COUNTIFS('RC and FUNDS FOR YOU'!M15:M4897,"&gt;=07/01/2010",'RC and FUNDS FOR YOU'!M15:M4897,"&lt;=06/30/2011")</f>
        <v>0</v>
      </c>
      <c r="U16" s="853"/>
      <c r="V16" s="853"/>
      <c r="W16" s="854"/>
      <c r="X16" s="852">
        <f>COUNTIFS('RC and FUNDS FOR YOU'!M15:M4897,"&gt;=07/01/2011",'RC and FUNDS FOR YOU'!M15:M4897,"&lt;=06/30/2012")</f>
        <v>0</v>
      </c>
      <c r="Y16" s="853"/>
      <c r="Z16" s="853"/>
      <c r="AA16" s="854"/>
      <c r="AB16" s="852">
        <f>COUNTIFS('RC and FUNDS FOR YOU'!M15:M4897,"&gt;=07/01/2012",'RC and FUNDS FOR YOU'!M15:M4897,"&lt;=06/30/2013")</f>
        <v>0</v>
      </c>
      <c r="AC16" s="853"/>
      <c r="AD16" s="853"/>
      <c r="AE16" s="854"/>
      <c r="AF16" s="852">
        <f>COUNTIFS('RC and FUNDS FOR YOU'!M15:M4897,"&gt;=07/01/2013",'RC and FUNDS FOR YOU'!M15:M4897,"&lt;=06/30/2014")</f>
        <v>0</v>
      </c>
      <c r="AG16" s="853"/>
      <c r="AH16" s="853"/>
      <c r="AI16" s="854"/>
      <c r="AJ16" s="852">
        <f>COUNTIFS('RC and FUNDS FOR YOU'!M15:M4897,"&gt;=07/01/2014",'RC and FUNDS FOR YOU'!M15:M4897,"&lt;=06/30/2015")</f>
        <v>0</v>
      </c>
      <c r="AK16" s="853"/>
      <c r="AL16" s="853"/>
      <c r="AM16" s="854"/>
      <c r="AN16" s="852">
        <f>COUNTIFS('RC and FUNDS FOR YOU'!M15:M4897,"&gt;=07/01/2015",'RC and FUNDS FOR YOU'!M15:M4897,"&lt;=06/30/2016")</f>
        <v>0</v>
      </c>
      <c r="AO16" s="853"/>
      <c r="AP16" s="853"/>
      <c r="AQ16" s="854"/>
      <c r="AR16" s="852">
        <f>COUNTIFS('RC and FUNDS FOR YOU'!M15:M4897,"&gt;=07/01/2016",'RC and FUNDS FOR YOU'!M15:M4897,"&lt;=06/30/2017")</f>
        <v>0</v>
      </c>
      <c r="AS16" s="853"/>
      <c r="AT16" s="853"/>
      <c r="AU16" s="854"/>
      <c r="AV16" s="852">
        <f>COUNTIFS('RC and FUNDS FOR YOU'!M15:M4897,"&gt;=07/01/2017",'RC and FUNDS FOR YOU'!M15:M4897,"&lt;=06/30/2018")</f>
        <v>0</v>
      </c>
      <c r="AW16" s="853"/>
      <c r="AX16" s="853"/>
      <c r="AY16" s="854"/>
      <c r="AZ16" s="852">
        <f>COUNTIFS('RC and FUNDS FOR YOU'!M15:M4897,"&gt;=07/01/2018",'RC and FUNDS FOR YOU'!M15:M4897,"&lt;=06/30/2019")</f>
        <v>0</v>
      </c>
      <c r="BA16" s="853"/>
      <c r="BB16" s="853"/>
      <c r="BC16" s="854"/>
      <c r="BD16" s="852">
        <f>COUNTIFS('RC and FUNDS FOR YOU'!M15:M4897,"&gt;=07/01/2019",'RC and FUNDS FOR YOU'!M15:M4897,"&lt;=06/30/2020")</f>
        <v>0</v>
      </c>
      <c r="BE16" s="853"/>
      <c r="BF16" s="853"/>
      <c r="BG16" s="854"/>
      <c r="BH16" s="852">
        <f>COUNTIFS('RC and FUNDS FOR YOU'!M15:M4897,"&gt;=07/01/2020",'RC and FUNDS FOR YOU'!M15:M4897,"&lt;=06/30/2021")</f>
        <v>0</v>
      </c>
      <c r="BI16" s="853"/>
      <c r="BJ16" s="853"/>
      <c r="BK16" s="854"/>
      <c r="BL16" s="852">
        <f>COUNTIFS('RC and FUNDS FOR YOU'!M15:M4897,"&gt;=07/01/2021",'RC and FUNDS FOR YOU'!M15:M4897,"&lt;=06/30/2022")</f>
        <v>0</v>
      </c>
      <c r="BM16" s="853"/>
      <c r="BN16" s="853"/>
      <c r="BO16" s="854"/>
      <c r="BP16" s="852">
        <f>COUNTIFS('RC and FUNDS FOR YOU'!Q15:Q4897,"&gt;=07/01/2022",'RC and FUNDS FOR YOU'!Q15:Q4897,"&lt;=06/30/2023")</f>
        <v>0</v>
      </c>
      <c r="BQ16" s="853"/>
      <c r="BR16" s="853"/>
      <c r="BS16" s="854"/>
      <c r="BT16" s="1072">
        <f>SUM(L16:BO16)</f>
        <v>0</v>
      </c>
      <c r="BU16" s="1072"/>
      <c r="BV16" s="1072"/>
      <c r="BW16" s="1072"/>
    </row>
    <row r="17" spans="1:94" ht="39.950000000000003" customHeight="1" x14ac:dyDescent="0.25">
      <c r="A17" s="983" t="s">
        <v>359</v>
      </c>
      <c r="B17" s="984"/>
      <c r="C17" s="984"/>
      <c r="D17" s="984"/>
      <c r="E17" s="984"/>
      <c r="F17" s="984"/>
      <c r="G17" s="984"/>
      <c r="H17" s="984"/>
      <c r="I17" s="984"/>
      <c r="J17" s="984"/>
      <c r="K17" s="988"/>
      <c r="L17" s="855">
        <f>COUNTIFS('RC and FUNDS FOR YOU'!AU15:AU4897,"&gt;=07/01/2000",'RC and FUNDS FOR YOU'!AU15:AU4897,"&lt;=06/30/2009")</f>
        <v>0</v>
      </c>
      <c r="M17" s="856"/>
      <c r="N17" s="856"/>
      <c r="O17" s="857"/>
      <c r="P17" s="855">
        <f>COUNTIFS('RC and FUNDS FOR YOU'!AU15:AU4897,"&gt;=07/01/2009",'RC and FUNDS FOR YOU'!AU15:AU4897,"&lt;=06/30/2010")</f>
        <v>0</v>
      </c>
      <c r="Q17" s="856"/>
      <c r="R17" s="856"/>
      <c r="S17" s="857"/>
      <c r="T17" s="855">
        <f>COUNTIFS('RC and FUNDS FOR YOU'!AU15:AU4897,"&gt;=07/01/2010",'RC and FUNDS FOR YOU'!AU15:AU4897,"&lt;=06/30/2011")</f>
        <v>0</v>
      </c>
      <c r="U17" s="856"/>
      <c r="V17" s="856"/>
      <c r="W17" s="857"/>
      <c r="X17" s="855">
        <f>COUNTIFS('RC and FUNDS FOR YOU'!AU15:AU4897,"&gt;=07/01/2011",'RC and FUNDS FOR YOU'!AU15:AU4897,"&lt;=06/30/2012")</f>
        <v>0</v>
      </c>
      <c r="Y17" s="856"/>
      <c r="Z17" s="856"/>
      <c r="AA17" s="857"/>
      <c r="AB17" s="855">
        <f>COUNTIFS('RC and FUNDS FOR YOU'!AU15:AU4897,"&gt;=07/01/2012",'RC and FUNDS FOR YOU'!AU15:AU4897,"&lt;=06/30/2013")</f>
        <v>0</v>
      </c>
      <c r="AC17" s="856"/>
      <c r="AD17" s="856"/>
      <c r="AE17" s="857"/>
      <c r="AF17" s="855">
        <f>COUNTIFS('RC and FUNDS FOR YOU'!AU15:AU4897,"&gt;=07/01/2013",'RC and FUNDS FOR YOU'!AU15:AU4897,"&lt;=06/30/2014")</f>
        <v>0</v>
      </c>
      <c r="AG17" s="856"/>
      <c r="AH17" s="856"/>
      <c r="AI17" s="857"/>
      <c r="AJ17" s="855">
        <f>COUNTIFS('RC and FUNDS FOR YOU'!AU15:AU4897,"&gt;=07/01/2014",'RC and FUNDS FOR YOU'!AU15:AU4897,"&lt;=06/30/2015")</f>
        <v>0</v>
      </c>
      <c r="AK17" s="856"/>
      <c r="AL17" s="856"/>
      <c r="AM17" s="857"/>
      <c r="AN17" s="855">
        <f>COUNTIFS('RC and FUNDS FOR YOU'!AU15:AU4897,"&gt;=07/01/2015",'RC and FUNDS FOR YOU'!AU15:AU4897,"&lt;=06/30/2016")</f>
        <v>0</v>
      </c>
      <c r="AO17" s="856"/>
      <c r="AP17" s="856"/>
      <c r="AQ17" s="857"/>
      <c r="AR17" s="855">
        <f>COUNTIFS('RC and FUNDS FOR YOU'!AU15:AU4897,"&gt;=07/01/2016",'RC and FUNDS FOR YOU'!AU15:AU4897,"&lt;=06/30/2017")</f>
        <v>0</v>
      </c>
      <c r="AS17" s="856"/>
      <c r="AT17" s="856"/>
      <c r="AU17" s="857"/>
      <c r="AV17" s="855">
        <f>COUNTIFS('RC and FUNDS FOR YOU'!AU15:AU4897,"&gt;=07/01/2017",'RC and FUNDS FOR YOU'!AU15:AU4897,"&lt;=06/30/2018")</f>
        <v>0</v>
      </c>
      <c r="AW17" s="856"/>
      <c r="AX17" s="856"/>
      <c r="AY17" s="857"/>
      <c r="AZ17" s="855">
        <f>COUNTIFS('RC and FUNDS FOR YOU'!AU15:AU4897,"&gt;=07/01/2018",'RC and FUNDS FOR YOU'!AU15:AU4897,"&lt;=06/30/2019")</f>
        <v>0</v>
      </c>
      <c r="BA17" s="856"/>
      <c r="BB17" s="856"/>
      <c r="BC17" s="857"/>
      <c r="BD17" s="855">
        <f>COUNTIFS('RC and FUNDS FOR YOU'!AU15:AU4897,"&gt;=07/01/2019",'RC and FUNDS FOR YOU'!AU15:AU4897,"&lt;=06/30/2020")</f>
        <v>0</v>
      </c>
      <c r="BE17" s="856"/>
      <c r="BF17" s="856"/>
      <c r="BG17" s="857"/>
      <c r="BH17" s="855">
        <f>COUNTIFS('RC and FUNDS FOR YOU'!AU15:AU4897,"&gt;=07/01/2020",'RC and FUNDS FOR YOU'!AU15:AU4897,"&lt;=06/30/2021")</f>
        <v>1</v>
      </c>
      <c r="BI17" s="856"/>
      <c r="BJ17" s="856"/>
      <c r="BK17" s="857"/>
      <c r="BL17" s="855">
        <f>COUNTIFS('RC and FUNDS FOR YOU'!AU15:AU4897,"&gt;=07/01/2021",'RC and FUNDS FOR YOU'!AU15:AU4897,"&lt;=06/30/2022")</f>
        <v>0</v>
      </c>
      <c r="BM17" s="856"/>
      <c r="BN17" s="856"/>
      <c r="BO17" s="857"/>
      <c r="BP17" s="855">
        <f>COUNTIFS('RC and FUNDS FOR YOU'!AY15:AY4897,"&gt;=07/01/2022",'RC and FUNDS FOR YOU'!AY15:AY4897,"&lt;=06/30/2023")</f>
        <v>0</v>
      </c>
      <c r="BQ17" s="856"/>
      <c r="BR17" s="856"/>
      <c r="BS17" s="857"/>
      <c r="BT17" s="1071">
        <f>SUM(L17:BO17)</f>
        <v>1</v>
      </c>
      <c r="BU17" s="1071"/>
      <c r="BV17" s="1071"/>
      <c r="BW17" s="1071"/>
    </row>
    <row r="18" spans="1:94" ht="39.950000000000003" customHeight="1" x14ac:dyDescent="0.25">
      <c r="A18" s="662" t="s">
        <v>360</v>
      </c>
      <c r="B18" s="662"/>
      <c r="C18" s="662"/>
      <c r="D18" s="662"/>
      <c r="E18" s="662"/>
      <c r="F18" s="662"/>
      <c r="G18" s="662"/>
      <c r="H18" s="662"/>
      <c r="I18" s="662"/>
      <c r="J18" s="662"/>
      <c r="K18" s="663"/>
      <c r="L18" s="658">
        <f>L15-L17</f>
        <v>0</v>
      </c>
      <c r="M18" s="659"/>
      <c r="N18" s="659"/>
      <c r="O18" s="660"/>
      <c r="P18" s="658">
        <f>P15-P17</f>
        <v>0</v>
      </c>
      <c r="Q18" s="659"/>
      <c r="R18" s="659"/>
      <c r="S18" s="660"/>
      <c r="T18" s="658">
        <f>T15-T17</f>
        <v>0</v>
      </c>
      <c r="U18" s="659"/>
      <c r="V18" s="659"/>
      <c r="W18" s="660"/>
      <c r="X18" s="658">
        <f>X15-X17</f>
        <v>0</v>
      </c>
      <c r="Y18" s="659"/>
      <c r="Z18" s="659"/>
      <c r="AA18" s="660"/>
      <c r="AB18" s="658">
        <f>AB15-AB17</f>
        <v>0</v>
      </c>
      <c r="AC18" s="659"/>
      <c r="AD18" s="659"/>
      <c r="AE18" s="660"/>
      <c r="AF18" s="658">
        <f>AF15-AF17</f>
        <v>0</v>
      </c>
      <c r="AG18" s="659"/>
      <c r="AH18" s="659"/>
      <c r="AI18" s="660"/>
      <c r="AJ18" s="658">
        <f>AJ15-AJ17</f>
        <v>0</v>
      </c>
      <c r="AK18" s="659"/>
      <c r="AL18" s="659"/>
      <c r="AM18" s="660"/>
      <c r="AN18" s="658">
        <f>AN15-AN17</f>
        <v>0</v>
      </c>
      <c r="AO18" s="659"/>
      <c r="AP18" s="659"/>
      <c r="AQ18" s="660"/>
      <c r="AR18" s="658">
        <f>AR15-AR17</f>
        <v>0</v>
      </c>
      <c r="AS18" s="659"/>
      <c r="AT18" s="659"/>
      <c r="AU18" s="660"/>
      <c r="AV18" s="658">
        <f>AV15-AV17</f>
        <v>0</v>
      </c>
      <c r="AW18" s="659"/>
      <c r="AX18" s="659"/>
      <c r="AY18" s="660"/>
      <c r="AZ18" s="658">
        <f>AZ15-AZ17</f>
        <v>0</v>
      </c>
      <c r="BA18" s="659"/>
      <c r="BB18" s="659"/>
      <c r="BC18" s="660"/>
      <c r="BD18" s="658">
        <f>BD15-BD17</f>
        <v>0</v>
      </c>
      <c r="BE18" s="659"/>
      <c r="BF18" s="659"/>
      <c r="BG18" s="660"/>
      <c r="BH18" s="658">
        <f>BH15-BH17</f>
        <v>-1</v>
      </c>
      <c r="BI18" s="659"/>
      <c r="BJ18" s="659"/>
      <c r="BK18" s="660"/>
      <c r="BL18" s="658">
        <f>BL15-BL17</f>
        <v>0</v>
      </c>
      <c r="BM18" s="659"/>
      <c r="BN18" s="659"/>
      <c r="BO18" s="660"/>
      <c r="BP18" s="658">
        <f>BP15-BP17</f>
        <v>0</v>
      </c>
      <c r="BQ18" s="659"/>
      <c r="BR18" s="659"/>
      <c r="BS18" s="660"/>
      <c r="BT18" s="661">
        <f>SUM(L18:BO18)</f>
        <v>-1</v>
      </c>
      <c r="BU18" s="661"/>
      <c r="BV18" s="661"/>
      <c r="BW18" s="661"/>
    </row>
    <row r="19" spans="1:94" ht="39.950000000000003" customHeight="1" x14ac:dyDescent="0.25">
      <c r="A19" s="983" t="s">
        <v>798</v>
      </c>
      <c r="B19" s="984"/>
      <c r="C19" s="984"/>
      <c r="D19" s="984"/>
      <c r="E19" s="984"/>
      <c r="F19" s="984"/>
      <c r="G19" s="984"/>
      <c r="H19" s="984"/>
      <c r="I19" s="984"/>
      <c r="J19" s="984"/>
      <c r="K19" s="988"/>
      <c r="L19" s="1068">
        <f>L16-L17</f>
        <v>0</v>
      </c>
      <c r="M19" s="1069"/>
      <c r="N19" s="1069"/>
      <c r="O19" s="1070"/>
      <c r="P19" s="1068">
        <f>P16-P17</f>
        <v>0</v>
      </c>
      <c r="Q19" s="1069"/>
      <c r="R19" s="1069"/>
      <c r="S19" s="1070"/>
      <c r="T19" s="1068">
        <f>T16-T17</f>
        <v>0</v>
      </c>
      <c r="U19" s="1069"/>
      <c r="V19" s="1069"/>
      <c r="W19" s="1070"/>
      <c r="X19" s="1068">
        <f>X16-X17</f>
        <v>0</v>
      </c>
      <c r="Y19" s="1069"/>
      <c r="Z19" s="1069"/>
      <c r="AA19" s="1070"/>
      <c r="AB19" s="1068">
        <f>AB16-AB17</f>
        <v>0</v>
      </c>
      <c r="AC19" s="1069"/>
      <c r="AD19" s="1069"/>
      <c r="AE19" s="1070"/>
      <c r="AF19" s="1068">
        <f>AF16-AF17</f>
        <v>0</v>
      </c>
      <c r="AG19" s="1069"/>
      <c r="AH19" s="1069"/>
      <c r="AI19" s="1070"/>
      <c r="AJ19" s="1068">
        <f>AJ16-AJ17</f>
        <v>0</v>
      </c>
      <c r="AK19" s="1069"/>
      <c r="AL19" s="1069"/>
      <c r="AM19" s="1070"/>
      <c r="AN19" s="1068">
        <f>AN16-AN17</f>
        <v>0</v>
      </c>
      <c r="AO19" s="1069"/>
      <c r="AP19" s="1069"/>
      <c r="AQ19" s="1070"/>
      <c r="AR19" s="1068">
        <f>AR16-AR17</f>
        <v>0</v>
      </c>
      <c r="AS19" s="1069"/>
      <c r="AT19" s="1069"/>
      <c r="AU19" s="1070"/>
      <c r="AV19" s="1068">
        <f>AV16-AV17</f>
        <v>0</v>
      </c>
      <c r="AW19" s="1069"/>
      <c r="AX19" s="1069"/>
      <c r="AY19" s="1070"/>
      <c r="AZ19" s="1068">
        <f>AZ16-AZ17</f>
        <v>0</v>
      </c>
      <c r="BA19" s="1069"/>
      <c r="BB19" s="1069"/>
      <c r="BC19" s="1070"/>
      <c r="BD19" s="1068">
        <f>BD16-BD17</f>
        <v>0</v>
      </c>
      <c r="BE19" s="1069"/>
      <c r="BF19" s="1069"/>
      <c r="BG19" s="1070"/>
      <c r="BH19" s="1068">
        <f>BH16-BH17</f>
        <v>-1</v>
      </c>
      <c r="BI19" s="1069"/>
      <c r="BJ19" s="1069"/>
      <c r="BK19" s="1070"/>
      <c r="BL19" s="1068">
        <f>BL16-BL17</f>
        <v>0</v>
      </c>
      <c r="BM19" s="1069"/>
      <c r="BN19" s="1069"/>
      <c r="BO19" s="1070"/>
      <c r="BP19" s="1068">
        <f>BP16-BP17</f>
        <v>0</v>
      </c>
      <c r="BQ19" s="1069"/>
      <c r="BR19" s="1069"/>
      <c r="BS19" s="1070"/>
      <c r="BT19" s="664">
        <f>SUM(L19:BO19)</f>
        <v>-1</v>
      </c>
      <c r="BU19" s="664"/>
      <c r="BV19" s="664"/>
      <c r="BW19" s="664"/>
      <c r="BZ19" s="657" t="s">
        <v>801</v>
      </c>
      <c r="CA19" s="657"/>
      <c r="CB19" s="657"/>
      <c r="CC19" s="657"/>
      <c r="CD19" s="657"/>
      <c r="CE19" s="657"/>
      <c r="CF19" s="657"/>
      <c r="CG19" s="657"/>
      <c r="CH19" s="657"/>
      <c r="CI19" s="657"/>
      <c r="CJ19" s="657"/>
      <c r="CK19" s="657"/>
      <c r="CL19" s="657"/>
      <c r="CM19" s="657"/>
      <c r="CN19" s="657"/>
      <c r="CO19" s="657"/>
      <c r="CP19" s="657"/>
    </row>
    <row r="20" spans="1:94" ht="21" customHeight="1" x14ac:dyDescent="0.25">
      <c r="A20" s="286"/>
      <c r="B20" s="286"/>
      <c r="C20" s="286"/>
      <c r="D20" s="286"/>
      <c r="E20" s="286"/>
      <c r="F20" s="286"/>
      <c r="G20" s="286"/>
      <c r="H20" s="286"/>
      <c r="I20" s="286"/>
      <c r="J20" s="286"/>
      <c r="K20" s="286"/>
      <c r="L20" s="286"/>
      <c r="M20" s="286"/>
      <c r="N20" s="286"/>
      <c r="O20" s="286"/>
      <c r="P20" s="286"/>
      <c r="Q20" s="286"/>
      <c r="R20" s="286"/>
      <c r="S20" s="286"/>
      <c r="T20" s="287"/>
      <c r="U20" s="287"/>
      <c r="V20" s="287"/>
      <c r="W20" s="287"/>
      <c r="X20" s="287"/>
      <c r="Y20" s="287"/>
      <c r="Z20" s="287"/>
      <c r="AA20" s="287"/>
      <c r="AB20" s="287"/>
      <c r="AC20" s="287"/>
      <c r="AD20" s="287"/>
      <c r="AE20" s="287"/>
      <c r="AF20" s="287"/>
      <c r="AG20" s="287"/>
      <c r="AH20" s="287"/>
      <c r="AI20" s="287"/>
      <c r="AJ20" s="287"/>
      <c r="AK20" s="287"/>
      <c r="AL20" s="287"/>
      <c r="AM20" s="287"/>
      <c r="AN20" s="287"/>
      <c r="AO20" s="287"/>
      <c r="AP20" s="287"/>
      <c r="AQ20" s="287"/>
      <c r="AR20" s="288"/>
      <c r="AS20" s="288"/>
      <c r="AT20" s="288"/>
      <c r="AU20" s="288"/>
      <c r="AV20" s="208"/>
      <c r="AW20" s="208"/>
      <c r="AX20" s="208"/>
    </row>
    <row r="21" spans="1:94" ht="21" customHeight="1" x14ac:dyDescent="0.25">
      <c r="A21" s="992" t="s">
        <v>361</v>
      </c>
      <c r="B21" s="992"/>
      <c r="C21" s="992"/>
      <c r="D21" s="992"/>
      <c r="E21" s="992"/>
      <c r="F21" s="992"/>
      <c r="G21" s="992"/>
      <c r="H21" s="992"/>
      <c r="I21" s="992"/>
      <c r="J21" s="992"/>
      <c r="K21" s="992"/>
      <c r="L21" s="992"/>
      <c r="M21" s="992"/>
      <c r="N21" s="992"/>
      <c r="O21" s="992"/>
      <c r="P21" s="992"/>
      <c r="Q21" s="992"/>
      <c r="R21" s="992"/>
      <c r="S21" s="992"/>
      <c r="T21" s="992"/>
      <c r="U21" s="992"/>
      <c r="V21" s="992"/>
      <c r="W21" s="992"/>
      <c r="X21" s="992"/>
      <c r="Y21" s="992"/>
      <c r="Z21" s="992"/>
      <c r="AA21" s="992"/>
      <c r="AB21" s="992"/>
      <c r="AC21" s="992"/>
      <c r="AD21" s="287"/>
      <c r="AE21" s="287"/>
      <c r="AF21" s="73"/>
      <c r="AG21" s="73"/>
      <c r="AH21" s="73"/>
      <c r="AI21" s="73"/>
      <c r="AJ21" s="73"/>
      <c r="AK21" s="73"/>
      <c r="AL21" s="73"/>
      <c r="AM21" s="73"/>
      <c r="AN21" s="73"/>
      <c r="AO21" s="73"/>
      <c r="AP21" s="73" t="s">
        <v>799</v>
      </c>
      <c r="AQ21" s="73"/>
      <c r="AR21" s="73"/>
      <c r="AS21" s="288"/>
      <c r="AT21" s="288"/>
      <c r="AU21" s="288"/>
      <c r="AV21" s="208"/>
      <c r="AW21" s="208"/>
      <c r="AX21" s="208"/>
    </row>
    <row r="22" spans="1:94" ht="21" customHeight="1" x14ac:dyDescent="0.25">
      <c r="A22" s="953" t="s">
        <v>362</v>
      </c>
      <c r="B22" s="953"/>
      <c r="C22" s="953"/>
      <c r="D22" s="953"/>
      <c r="E22" s="953"/>
      <c r="F22" s="953"/>
      <c r="G22" s="953"/>
      <c r="H22" s="953"/>
      <c r="I22" s="953"/>
      <c r="J22" s="953"/>
      <c r="K22" s="953"/>
      <c r="L22" s="953"/>
      <c r="M22" s="953"/>
      <c r="N22" s="953"/>
      <c r="O22" s="953"/>
      <c r="P22" s="953"/>
      <c r="Q22" s="953"/>
      <c r="R22" s="953"/>
      <c r="S22" s="953"/>
      <c r="T22" s="950" t="s">
        <v>363</v>
      </c>
      <c r="U22" s="950"/>
      <c r="V22" s="950"/>
      <c r="W22" s="950"/>
      <c r="X22" s="950"/>
      <c r="Y22" s="950" t="s">
        <v>364</v>
      </c>
      <c r="Z22" s="950"/>
      <c r="AA22" s="950"/>
      <c r="AB22" s="950"/>
      <c r="AC22" s="950"/>
      <c r="AD22" s="287"/>
      <c r="AE22" s="287"/>
      <c r="AF22" s="73"/>
      <c r="AG22" s="73"/>
      <c r="AH22" s="73"/>
      <c r="AI22" s="73"/>
      <c r="AJ22" s="73"/>
      <c r="AK22" s="73"/>
      <c r="AL22" s="73"/>
      <c r="AM22" s="73"/>
      <c r="AN22" s="73"/>
      <c r="AO22" s="73"/>
      <c r="AP22" s="73"/>
      <c r="AQ22" s="73"/>
      <c r="AR22" s="73"/>
      <c r="AS22" s="288"/>
      <c r="AT22" s="288"/>
      <c r="AU22" s="288"/>
      <c r="AV22" s="208"/>
      <c r="AW22" s="208"/>
      <c r="AX22" s="208"/>
    </row>
    <row r="23" spans="1:94" ht="21" customHeight="1" x14ac:dyDescent="0.25">
      <c r="A23" s="859" t="s">
        <v>365</v>
      </c>
      <c r="B23" s="859"/>
      <c r="C23" s="859"/>
      <c r="D23" s="859"/>
      <c r="E23" s="859"/>
      <c r="F23" s="859"/>
      <c r="G23" s="859"/>
      <c r="H23" s="859"/>
      <c r="I23" s="859"/>
      <c r="J23" s="859"/>
      <c r="K23" s="859"/>
      <c r="L23" s="859"/>
      <c r="M23" s="859"/>
      <c r="N23" s="859"/>
      <c r="O23" s="859"/>
      <c r="P23" s="859"/>
      <c r="Q23" s="859"/>
      <c r="R23" s="859"/>
      <c r="S23" s="859"/>
      <c r="T23" s="1032">
        <f>SUMIF('RC and FUNDS FOR YOU'!AZ15:AZ4718,"&gt;=1")</f>
        <v>0</v>
      </c>
      <c r="U23" s="1032"/>
      <c r="V23" s="1032"/>
      <c r="W23" s="1032"/>
      <c r="X23" s="1032"/>
      <c r="Y23" s="951" t="e">
        <f>T23/BT16</f>
        <v>#DIV/0!</v>
      </c>
      <c r="Z23" s="951"/>
      <c r="AA23" s="951"/>
      <c r="AB23" s="951"/>
      <c r="AC23" s="951"/>
      <c r="AD23" s="287"/>
      <c r="AE23" s="287"/>
      <c r="AF23" s="73"/>
      <c r="AG23" s="73"/>
      <c r="AH23" s="73"/>
      <c r="AI23" s="73"/>
      <c r="AJ23" s="73"/>
      <c r="AK23" s="73"/>
      <c r="AL23" s="73"/>
      <c r="AM23" s="73"/>
      <c r="AN23" s="73"/>
      <c r="AO23" s="73"/>
      <c r="AP23" s="73"/>
      <c r="AQ23" s="73"/>
      <c r="AR23" s="73"/>
      <c r="AS23" s="288"/>
      <c r="AT23" s="288"/>
      <c r="AU23" s="288"/>
      <c r="AV23" s="208"/>
      <c r="AW23" s="208"/>
      <c r="AX23" s="208"/>
    </row>
    <row r="24" spans="1:94" ht="21" customHeight="1" x14ac:dyDescent="0.25">
      <c r="A24" s="1030" t="s">
        <v>366</v>
      </c>
      <c r="B24" s="1030"/>
      <c r="C24" s="1030"/>
      <c r="D24" s="1030"/>
      <c r="E24" s="1030"/>
      <c r="F24" s="1030"/>
      <c r="G24" s="1030"/>
      <c r="H24" s="1030"/>
      <c r="I24" s="1030"/>
      <c r="J24" s="1030"/>
      <c r="K24" s="1030"/>
      <c r="L24" s="1030"/>
      <c r="M24" s="1030"/>
      <c r="N24" s="1030"/>
      <c r="O24" s="1030"/>
      <c r="P24" s="1030"/>
      <c r="Q24" s="1030"/>
      <c r="R24" s="1030"/>
      <c r="S24" s="1030"/>
      <c r="T24" s="858">
        <f>SUMIF('RC and FUNDS FOR YOU'!BA15:BA4718,"&gt;=1")</f>
        <v>44022</v>
      </c>
      <c r="U24" s="858"/>
      <c r="V24" s="858"/>
      <c r="W24" s="858"/>
      <c r="X24" s="858"/>
      <c r="Y24" s="952">
        <f>T24/BT17</f>
        <v>44022</v>
      </c>
      <c r="Z24" s="952"/>
      <c r="AA24" s="952"/>
      <c r="AB24" s="952"/>
      <c r="AC24" s="952"/>
      <c r="AD24" s="287"/>
      <c r="AE24" s="287"/>
      <c r="AF24" s="287"/>
      <c r="AG24" s="287"/>
      <c r="AH24" s="287"/>
      <c r="AI24" s="287"/>
      <c r="AJ24" s="287"/>
      <c r="AK24" s="287"/>
      <c r="AL24" s="287"/>
      <c r="AM24" s="287"/>
      <c r="AN24" s="287"/>
      <c r="AO24" s="287"/>
      <c r="AP24" s="287"/>
      <c r="AQ24" s="287"/>
      <c r="AR24" s="288"/>
      <c r="AS24" s="288"/>
      <c r="AT24" s="288"/>
      <c r="AU24" s="288"/>
      <c r="AV24" s="208"/>
      <c r="AW24" s="208"/>
      <c r="AX24" s="208"/>
    </row>
    <row r="25" spans="1:94" ht="21" customHeight="1" x14ac:dyDescent="0.25">
      <c r="A25" s="286"/>
      <c r="B25" s="286"/>
      <c r="C25" s="286"/>
      <c r="D25" s="286"/>
      <c r="E25" s="286"/>
      <c r="F25" s="286"/>
      <c r="G25" s="286"/>
      <c r="H25" s="286"/>
      <c r="I25" s="286"/>
      <c r="J25" s="286"/>
      <c r="K25" s="286"/>
      <c r="L25" s="286"/>
      <c r="M25" s="286"/>
      <c r="N25" s="286"/>
      <c r="O25" s="286"/>
      <c r="P25" s="286"/>
      <c r="Q25" s="286"/>
      <c r="R25" s="286"/>
      <c r="S25" s="286"/>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8"/>
      <c r="AS25" s="288"/>
      <c r="AT25" s="288"/>
      <c r="AU25" s="288"/>
      <c r="AV25" s="208"/>
      <c r="AW25" s="208"/>
      <c r="AX25" s="208"/>
    </row>
    <row r="26" spans="1:94" ht="21" customHeight="1" x14ac:dyDescent="0.25">
      <c r="A26" s="208"/>
      <c r="B26" s="208"/>
      <c r="C26" s="208"/>
      <c r="D26" s="208"/>
      <c r="E26" s="208"/>
      <c r="F26" s="208"/>
      <c r="G26" s="208"/>
      <c r="H26" s="208"/>
      <c r="I26" s="208"/>
      <c r="J26" s="208"/>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row>
    <row r="27" spans="1:94" ht="20.100000000000001" customHeight="1" x14ac:dyDescent="0.35">
      <c r="A27" s="784" t="s">
        <v>367</v>
      </c>
      <c r="B27" s="785"/>
      <c r="C27" s="785"/>
      <c r="D27" s="785"/>
      <c r="E27" s="785"/>
      <c r="F27" s="785"/>
      <c r="G27" s="785"/>
      <c r="H27" s="785"/>
      <c r="I27" s="785"/>
      <c r="J27" s="785"/>
      <c r="K27" s="785"/>
      <c r="L27" s="785"/>
      <c r="M27" s="785"/>
      <c r="N27" s="785"/>
      <c r="O27" s="785"/>
      <c r="P27" s="785"/>
      <c r="Q27" s="785"/>
      <c r="R27" s="785"/>
      <c r="S27" s="785"/>
      <c r="T27" s="785"/>
      <c r="U27" s="785"/>
      <c r="V27" s="785"/>
      <c r="W27" s="785"/>
      <c r="X27" s="785"/>
      <c r="Y27" s="14"/>
      <c r="Z27" s="14"/>
      <c r="AA27" s="14"/>
      <c r="AB27" s="75" t="s">
        <v>340</v>
      </c>
      <c r="AC27" s="75"/>
      <c r="AD27" s="75"/>
      <c r="AE27" s="75"/>
      <c r="AF27" s="75"/>
      <c r="AG27" s="75"/>
      <c r="AH27" s="75"/>
      <c r="AI27" s="75"/>
      <c r="AJ27" s="75"/>
      <c r="AK27" s="75"/>
      <c r="AL27" s="1031" t="s">
        <v>368</v>
      </c>
      <c r="AM27" s="1031"/>
      <c r="AN27" s="1031"/>
      <c r="AO27" s="1031"/>
      <c r="AP27" s="1031"/>
      <c r="AQ27" s="1031"/>
      <c r="AR27" s="1031"/>
      <c r="AS27" s="1031"/>
      <c r="AT27" s="1031"/>
      <c r="AU27" s="1031"/>
      <c r="AV27" s="1031"/>
      <c r="AW27" s="1031"/>
      <c r="AX27" s="1031"/>
      <c r="AY27" s="1031"/>
      <c r="AZ27" s="1031"/>
      <c r="BA27" s="1031"/>
      <c r="BB27" s="1031"/>
      <c r="BC27" s="1031"/>
      <c r="BD27" s="1031"/>
      <c r="BE27" s="1031"/>
      <c r="BF27" s="1031"/>
      <c r="BG27" s="1031"/>
      <c r="BH27" s="1031"/>
      <c r="BI27" s="1031"/>
      <c r="BJ27" s="1031"/>
      <c r="BK27" s="1031"/>
      <c r="BL27" s="1031"/>
      <c r="BM27" s="1031"/>
      <c r="BN27" s="1031"/>
      <c r="BO27" s="1031"/>
      <c r="BP27" s="1031"/>
      <c r="BQ27" s="1031"/>
      <c r="BR27" s="67"/>
      <c r="BS27" s="910" t="s">
        <v>369</v>
      </c>
      <c r="BT27" s="910"/>
      <c r="BU27" s="910"/>
      <c r="BV27" s="910"/>
      <c r="BW27" s="910"/>
      <c r="BX27" s="910"/>
      <c r="BY27" s="910"/>
      <c r="BZ27" s="910"/>
      <c r="CA27" s="910"/>
      <c r="CB27" s="910"/>
      <c r="CC27" s="910"/>
      <c r="CD27" s="910"/>
      <c r="CE27" s="910"/>
      <c r="CF27" s="910"/>
      <c r="CG27" s="910"/>
      <c r="CH27" s="910"/>
    </row>
    <row r="28" spans="1:94" ht="45" customHeight="1" x14ac:dyDescent="0.25">
      <c r="A28" s="786"/>
      <c r="B28" s="787"/>
      <c r="C28" s="787"/>
      <c r="D28" s="787"/>
      <c r="E28" s="787"/>
      <c r="F28" s="787"/>
      <c r="G28" s="787"/>
      <c r="H28" s="787"/>
      <c r="I28" s="787"/>
      <c r="J28" s="787"/>
      <c r="K28" s="787"/>
      <c r="L28" s="787"/>
      <c r="M28" s="787"/>
      <c r="N28" s="787"/>
      <c r="O28" s="787"/>
      <c r="P28" s="787"/>
      <c r="Q28" s="787"/>
      <c r="R28" s="787"/>
      <c r="S28" s="787"/>
      <c r="T28" s="787"/>
      <c r="U28" s="787"/>
      <c r="V28" s="787"/>
      <c r="W28" s="787"/>
      <c r="X28" s="787"/>
      <c r="Y28" s="14"/>
      <c r="Z28" s="14"/>
      <c r="AA28" s="14"/>
      <c r="AB28" s="819" t="s">
        <v>370</v>
      </c>
      <c r="AC28" s="820"/>
      <c r="AD28" s="820"/>
      <c r="AE28" s="820"/>
      <c r="AF28" s="820"/>
      <c r="AG28" s="820"/>
      <c r="AH28" s="820"/>
      <c r="AI28" s="820"/>
      <c r="AJ28" s="820"/>
      <c r="AK28" s="821"/>
      <c r="AL28" s="749" t="s">
        <v>371</v>
      </c>
      <c r="AM28" s="749"/>
      <c r="AN28" s="749"/>
      <c r="AO28" s="749"/>
      <c r="AP28" s="749" t="s">
        <v>372</v>
      </c>
      <c r="AQ28" s="749"/>
      <c r="AR28" s="749"/>
      <c r="AS28" s="749"/>
      <c r="AT28" s="749" t="s">
        <v>373</v>
      </c>
      <c r="AU28" s="749"/>
      <c r="AV28" s="749"/>
      <c r="AW28" s="749"/>
      <c r="AX28" s="749" t="s">
        <v>374</v>
      </c>
      <c r="AY28" s="749"/>
      <c r="AZ28" s="749"/>
      <c r="BA28" s="749"/>
      <c r="BB28" s="749" t="s">
        <v>375</v>
      </c>
      <c r="BC28" s="749"/>
      <c r="BD28" s="749"/>
      <c r="BE28" s="749"/>
      <c r="BF28" s="749" t="s">
        <v>376</v>
      </c>
      <c r="BG28" s="749"/>
      <c r="BH28" s="749"/>
      <c r="BI28" s="749"/>
      <c r="BJ28" s="749" t="s">
        <v>377</v>
      </c>
      <c r="BK28" s="749"/>
      <c r="BL28" s="749"/>
      <c r="BM28" s="749"/>
      <c r="BN28" s="831" t="s">
        <v>378</v>
      </c>
      <c r="BO28" s="831"/>
      <c r="BP28" s="831"/>
      <c r="BQ28" s="831"/>
      <c r="BR28" s="13"/>
      <c r="BS28" s="818" t="s">
        <v>379</v>
      </c>
      <c r="BT28" s="818"/>
      <c r="BU28" s="818"/>
      <c r="BV28" s="818"/>
      <c r="BW28" s="818" t="s">
        <v>380</v>
      </c>
      <c r="BX28" s="818"/>
      <c r="BY28" s="818"/>
      <c r="BZ28" s="818"/>
      <c r="CA28" s="818" t="s">
        <v>377</v>
      </c>
      <c r="CB28" s="818"/>
      <c r="CC28" s="818"/>
      <c r="CD28" s="818"/>
      <c r="CE28" s="744" t="s">
        <v>378</v>
      </c>
      <c r="CF28" s="744"/>
      <c r="CG28" s="744" t="s">
        <v>378</v>
      </c>
      <c r="CH28" s="744"/>
    </row>
    <row r="29" spans="1:94" ht="20.100000000000001" customHeight="1" x14ac:dyDescent="0.35">
      <c r="A29" s="64" t="s">
        <v>234</v>
      </c>
      <c r="B29" s="782" t="s">
        <v>381</v>
      </c>
      <c r="C29" s="782"/>
      <c r="D29" s="782"/>
      <c r="E29" s="782"/>
      <c r="F29" s="782"/>
      <c r="G29" s="783" t="s">
        <v>378</v>
      </c>
      <c r="H29" s="783"/>
      <c r="I29" s="783"/>
      <c r="J29" s="783"/>
      <c r="K29" s="783"/>
      <c r="L29" s="783"/>
      <c r="M29" s="64" t="s">
        <v>234</v>
      </c>
      <c r="N29" s="782" t="s">
        <v>381</v>
      </c>
      <c r="O29" s="782"/>
      <c r="P29" s="782"/>
      <c r="Q29" s="782"/>
      <c r="R29" s="782"/>
      <c r="S29" s="783" t="s">
        <v>378</v>
      </c>
      <c r="T29" s="783"/>
      <c r="U29" s="783"/>
      <c r="V29" s="783"/>
      <c r="W29" s="783"/>
      <c r="X29" s="783"/>
      <c r="AB29" s="822"/>
      <c r="AC29" s="823"/>
      <c r="AD29" s="823"/>
      <c r="AE29" s="823"/>
      <c r="AF29" s="823"/>
      <c r="AG29" s="823"/>
      <c r="AH29" s="823"/>
      <c r="AI29" s="823"/>
      <c r="AJ29" s="823"/>
      <c r="AK29" s="824"/>
      <c r="AL29" s="802" t="s">
        <v>382</v>
      </c>
      <c r="AM29" s="803"/>
      <c r="AN29" s="804" t="s">
        <v>383</v>
      </c>
      <c r="AO29" s="805"/>
      <c r="AP29" s="802" t="s">
        <v>382</v>
      </c>
      <c r="AQ29" s="803"/>
      <c r="AR29" s="804" t="s">
        <v>383</v>
      </c>
      <c r="AS29" s="805"/>
      <c r="AT29" s="802" t="s">
        <v>382</v>
      </c>
      <c r="AU29" s="803"/>
      <c r="AV29" s="804" t="s">
        <v>383</v>
      </c>
      <c r="AW29" s="805"/>
      <c r="AX29" s="802" t="s">
        <v>382</v>
      </c>
      <c r="AY29" s="803"/>
      <c r="AZ29" s="804" t="s">
        <v>383</v>
      </c>
      <c r="BA29" s="805"/>
      <c r="BB29" s="802" t="s">
        <v>382</v>
      </c>
      <c r="BC29" s="803"/>
      <c r="BD29" s="804" t="s">
        <v>383</v>
      </c>
      <c r="BE29" s="805"/>
      <c r="BF29" s="802" t="s">
        <v>382</v>
      </c>
      <c r="BG29" s="803"/>
      <c r="BH29" s="804" t="s">
        <v>383</v>
      </c>
      <c r="BI29" s="805"/>
      <c r="BJ29" s="802" t="s">
        <v>382</v>
      </c>
      <c r="BK29" s="803"/>
      <c r="BL29" s="804" t="s">
        <v>383</v>
      </c>
      <c r="BM29" s="805"/>
      <c r="BN29" s="806" t="s">
        <v>382</v>
      </c>
      <c r="BO29" s="807"/>
      <c r="BP29" s="808" t="s">
        <v>383</v>
      </c>
      <c r="BQ29" s="809"/>
      <c r="BR29" s="13"/>
      <c r="BS29" s="810" t="s">
        <v>382</v>
      </c>
      <c r="BT29" s="811"/>
      <c r="BU29" s="812" t="s">
        <v>383</v>
      </c>
      <c r="BV29" s="813"/>
      <c r="BW29" s="810" t="s">
        <v>382</v>
      </c>
      <c r="BX29" s="811"/>
      <c r="BY29" s="812" t="s">
        <v>383</v>
      </c>
      <c r="BZ29" s="813"/>
      <c r="CA29" s="810" t="s">
        <v>382</v>
      </c>
      <c r="CB29" s="811"/>
      <c r="CC29" s="812" t="s">
        <v>383</v>
      </c>
      <c r="CD29" s="813"/>
      <c r="CE29" s="745" t="s">
        <v>382</v>
      </c>
      <c r="CF29" s="746"/>
      <c r="CG29" s="745" t="s">
        <v>383</v>
      </c>
      <c r="CH29" s="746"/>
    </row>
    <row r="30" spans="1:94" ht="20.100000000000001" customHeight="1" x14ac:dyDescent="0.25">
      <c r="A30" s="19">
        <f>ROW(A1)</f>
        <v>1</v>
      </c>
      <c r="B30" s="738" t="s">
        <v>384</v>
      </c>
      <c r="C30" s="738"/>
      <c r="D30" s="738"/>
      <c r="E30" s="738"/>
      <c r="F30" s="738"/>
      <c r="G30" s="753">
        <f>COUNTIFS('RC and FUNDS FOR YOU'!F15:F4691,"Barbour")</f>
        <v>0</v>
      </c>
      <c r="H30" s="753"/>
      <c r="I30" s="753"/>
      <c r="J30" s="753"/>
      <c r="K30" s="753"/>
      <c r="L30" s="753"/>
      <c r="M30" s="19">
        <f>ROW(A46)</f>
        <v>46</v>
      </c>
      <c r="N30" s="738" t="s">
        <v>385</v>
      </c>
      <c r="O30" s="738"/>
      <c r="P30" s="738"/>
      <c r="Q30" s="738"/>
      <c r="R30" s="738"/>
      <c r="S30" s="753">
        <f>COUNTIFS('RC and FUNDS FOR YOU'!F15:F4691,"Mineral")</f>
        <v>0</v>
      </c>
      <c r="T30" s="753"/>
      <c r="U30" s="753"/>
      <c r="V30" s="753"/>
      <c r="W30" s="753"/>
      <c r="X30" s="753"/>
      <c r="Y30" s="15"/>
      <c r="Z30" s="15"/>
      <c r="AB30" s="799" t="s">
        <v>386</v>
      </c>
      <c r="AC30" s="799"/>
      <c r="AD30" s="799"/>
      <c r="AE30" s="799"/>
      <c r="AF30" s="799"/>
      <c r="AG30" s="799"/>
      <c r="AH30" s="799"/>
      <c r="AI30" s="799"/>
      <c r="AJ30" s="799"/>
      <c r="AK30" s="799"/>
      <c r="AL30" s="795">
        <f>COUNTIFS('RC and FUNDS FOR YOU'!G15:G1613,"&gt;=0",'RC and FUNDS FOR YOU'!G15:G1613,"&lt;=12",'RC and FUNDS FOR YOU'!I15:I1613,"White / Caucasian ",'RC and FUNDS FOR YOU'!H15:H1613,"Male")</f>
        <v>0</v>
      </c>
      <c r="AM30" s="796"/>
      <c r="AN30" s="797">
        <f>COUNTIFS('RC and FUNDS FOR YOU'!G15:G1613,"&gt;=0",'RC and FUNDS FOR YOU'!G15:G1613,"&lt;=12",'RC and FUNDS FOR YOU'!I15:I1613,"White / Caucasian ",'RC and FUNDS FOR YOU'!H15:H1613,"Female")</f>
        <v>0</v>
      </c>
      <c r="AO30" s="798"/>
      <c r="AP30" s="795">
        <f>COUNTIFS('RC and FUNDS FOR YOU'!G15:G1613,"&gt;=0",'RC and FUNDS FOR YOU'!G15:G1613,"&lt;=12",'RC and FUNDS FOR YOU'!I15:I1613,"African American /Black",'RC and FUNDS FOR YOU'!H15:H1613,"Male")</f>
        <v>0</v>
      </c>
      <c r="AQ30" s="796"/>
      <c r="AR30" s="797">
        <f>COUNTIFS('RC and FUNDS FOR YOU'!G15:G1613,"&gt;=0",'RC and FUNDS FOR YOU'!G15:G1613,"&lt;=12",'RC and FUNDS FOR YOU'!I15:I1613,"African American /Black",'RC and FUNDS FOR YOU'!H15:H1613,"Female")</f>
        <v>0</v>
      </c>
      <c r="AS30" s="798"/>
      <c r="AT30" s="795">
        <f>COUNTIFS('RC and FUNDS FOR YOU'!G15:G1613,"&gt;=0",'RC and FUNDS FOR YOU'!G15:G1613,"&lt;=12",'RC and FUNDS FOR YOU'!I15:I1613,"Native Hawaiian/Pacific Islander",'RC and FUNDS FOR YOU'!H15:H1613,"Male")</f>
        <v>0</v>
      </c>
      <c r="AU30" s="796"/>
      <c r="AV30" s="797">
        <f>COUNTIFS('RC and FUNDS FOR YOU'!G15:G1613,"&gt;=0",'RC and FUNDS FOR YOU'!G15:G1613,"&lt;=12",'RC and FUNDS FOR YOU'!I15:I1613,"Native Hawaiian/Pacific Islander",'RC and FUNDS FOR YOU'!H15:H1613,"Female")</f>
        <v>0</v>
      </c>
      <c r="AW30" s="798"/>
      <c r="AX30" s="795">
        <f>COUNTIFS('RC and FUNDS FOR YOU'!G15:G1613,"&gt;=0",'RC and FUNDS FOR YOU'!G15:G1613,"&lt;=12",'RC and FUNDS FOR YOU'!I15:I1613,"Asian",'RC and FUNDS FOR YOU'!H15:H1613,"Male")</f>
        <v>0</v>
      </c>
      <c r="AY30" s="796"/>
      <c r="AZ30" s="797">
        <f>COUNTIFS('RC and FUNDS FOR YOU'!G15:G1613,"&gt;=0",'RC and FUNDS FOR YOU'!G15:G1613,"&lt;=12",'RC and FUNDS FOR YOU'!I15:I1613,"Asian",'RC and FUNDS FOR YOU'!H15:H1613,"Female")</f>
        <v>0</v>
      </c>
      <c r="BA30" s="798"/>
      <c r="BB30" s="795">
        <f>COUNTIFS('RC and FUNDS FOR YOU'!G15:G1613,"&gt;=0",'RC and FUNDS FOR YOU'!G15:G1613,"&lt;=12",'RC and FUNDS FOR YOU'!I15:I1613,"American Indian  / Alaska Native",'RC and FUNDS FOR YOU'!H15:H1613,"Male")</f>
        <v>0</v>
      </c>
      <c r="BC30" s="796"/>
      <c r="BD30" s="797">
        <f>COUNTIFS('RC and FUNDS FOR YOU'!G15:G1613,"&gt;=0",'RC and FUNDS FOR YOU'!G15:G1613,"&lt;=12",'RC and FUNDS FOR YOU'!I15:I1613,"American Indian  / Alaska Native",'RC and FUNDS FOR YOU'!H15:H1613,"Female")</f>
        <v>0</v>
      </c>
      <c r="BE30" s="798"/>
      <c r="BF30" s="795">
        <f>COUNTIFS('RC and FUNDS FOR YOU'!G15:G1613,"&gt;=0",'RC and FUNDS FOR YOU'!G15:G1613,"&lt;=12",'RC and FUNDS FOR YOU'!I15:I1613,"More than one race reported",'RC and FUNDS FOR YOU'!H15:H1613,"Male")</f>
        <v>0</v>
      </c>
      <c r="BG30" s="796"/>
      <c r="BH30" s="797">
        <f>COUNTIFS('RC and FUNDS FOR YOU'!G15:G1613,"&gt;=0",'RC and FUNDS FOR YOU'!G15:G1613,"&lt;=12",'RC and FUNDS FOR YOU'!I15:I1613,"More than one race reported",'RC and FUNDS FOR YOU'!H15:H1613,"Female")</f>
        <v>0</v>
      </c>
      <c r="BI30" s="798"/>
      <c r="BJ30" s="795">
        <f>COUNTIFS('RC and FUNDS FOR YOU'!G15:G1613,"&gt;=0",'RC and FUNDS FOR YOU'!G15:G1613,"&lt;=12",'RC and FUNDS FOR YOU'!I15:I1613,"Unknown",'RC and FUNDS FOR YOU'!H15:H1613,"Male")</f>
        <v>0</v>
      </c>
      <c r="BK30" s="796"/>
      <c r="BL30" s="797">
        <f>COUNTIFS('RC and FUNDS FOR YOU'!G15:G1613,"&gt;=0",'RC and FUNDS FOR YOU'!G15:G1613,"&lt;=12",'RC and FUNDS FOR YOU'!I15:I1613,"Unknown",'RC and FUNDS FOR YOU'!H15:H1613,"Female")</f>
        <v>0</v>
      </c>
      <c r="BM30" s="798"/>
      <c r="BN30" s="800">
        <f t="shared" ref="BN30" si="0">AL30+AP30+AT30+AX30+BB30+BF30+BJ30</f>
        <v>0</v>
      </c>
      <c r="BO30" s="801"/>
      <c r="BP30" s="800">
        <f t="shared" ref="BP30" si="1">AN30+AR30+AV30+AZ30+BD30+BH30+BL30</f>
        <v>0</v>
      </c>
      <c r="BQ30" s="801"/>
      <c r="BR30" s="375" t="s">
        <v>788</v>
      </c>
      <c r="BS30" s="702">
        <f>COUNTIFS('RC and FUNDS FOR YOU'!G15:G1613,"&gt;=0",'RC and FUNDS FOR YOU'!G15:G1613,"&lt;=12",'RC and FUNDS FOR YOU'!J15:J1613,"Not Hispanic or Latino",'RC and FUNDS FOR YOU'!H15:H1613,"Male")</f>
        <v>0</v>
      </c>
      <c r="BT30" s="703"/>
      <c r="BU30" s="700">
        <f>COUNTIFS('RC and FUNDS FOR YOU'!G15:G1613,"&gt;=0",'RC and FUNDS FOR YOU'!G15:G1613,"&lt;=12",'RC and FUNDS FOR YOU'!J15:J1613,"Not Hispanic or Latino",'RC and FUNDS FOR YOU'!H15:H1613,"Female")</f>
        <v>0</v>
      </c>
      <c r="BV30" s="701"/>
      <c r="BW30" s="702">
        <f>COUNTIFS('RC and FUNDS FOR YOU'!G15:G1613,"&gt;=0",'RC and FUNDS FOR YOU'!G15:G1613,"&lt;=12",'RC and FUNDS FOR YOU'!J15:J1613,"Hispanic-Latino ",'RC and FUNDS FOR YOU'!H15:H1613,"Male")</f>
        <v>0</v>
      </c>
      <c r="BX30" s="703"/>
      <c r="BY30" s="700">
        <f>COUNTIFS('RC and FUNDS FOR YOU'!G15:G1613,"&gt;=0",'RC and FUNDS FOR YOU'!G15:G1613,"&lt;=12",'RC and FUNDS FOR YOU'!J15:J1613,"Hispanic-Latino ",'RC and FUNDS FOR YOU'!H15:H1613,"Female")</f>
        <v>0</v>
      </c>
      <c r="BZ30" s="701"/>
      <c r="CA30" s="702">
        <f>COUNTIFS('RC and FUNDS FOR YOU'!G15:G1613,"&gt;=0",'RC and FUNDS FOR YOU'!G15:G1613,"&lt;=12",'RC and FUNDS FOR YOU'!J15:J1613,"Unknown",'RC and FUNDS FOR YOU'!H15:H1613,"Male")</f>
        <v>0</v>
      </c>
      <c r="CB30" s="703"/>
      <c r="CC30" s="700">
        <f>COUNTIFS('RC and FUNDS FOR YOU'!G15:G1613,"&gt;=0",'RC and FUNDS FOR YOU'!G15:G1613,"&lt;=12",'RC and FUNDS FOR YOU'!J15:J1613,"Unknown",'RC and FUNDS FOR YOU'!H15:H1613,"Female")</f>
        <v>0</v>
      </c>
      <c r="CD30" s="701"/>
      <c r="CE30" s="704">
        <f t="shared" ref="CE30" si="2">BS30+BW30+CA30</f>
        <v>0</v>
      </c>
      <c r="CF30" s="705"/>
      <c r="CG30" s="704">
        <f t="shared" ref="CG30" si="3">BU30+BY30+CC30</f>
        <v>0</v>
      </c>
      <c r="CH30" s="705"/>
    </row>
    <row r="31" spans="1:94" ht="20.100000000000001" customHeight="1" x14ac:dyDescent="0.25">
      <c r="A31" s="19">
        <f t="shared" ref="A31:A36" si="4">ROW(A3)</f>
        <v>3</v>
      </c>
      <c r="B31" s="738" t="s">
        <v>387</v>
      </c>
      <c r="C31" s="738"/>
      <c r="D31" s="738"/>
      <c r="E31" s="738"/>
      <c r="F31" s="738"/>
      <c r="G31" s="753">
        <f>COUNTIFS('RC and FUNDS FOR YOU'!F15:F4691,"Berkeley")</f>
        <v>0</v>
      </c>
      <c r="H31" s="753"/>
      <c r="I31" s="753"/>
      <c r="J31" s="753"/>
      <c r="K31" s="753"/>
      <c r="L31" s="753"/>
      <c r="M31" s="19">
        <f t="shared" ref="M31:M56" si="5">ROW(A47)</f>
        <v>47</v>
      </c>
      <c r="N31" s="738" t="s">
        <v>388</v>
      </c>
      <c r="O31" s="738"/>
      <c r="P31" s="738"/>
      <c r="Q31" s="738"/>
      <c r="R31" s="738"/>
      <c r="S31" s="753">
        <f>COUNTIFS('RC and FUNDS FOR YOU'!F15:F4691,"Mingo")</f>
        <v>0</v>
      </c>
      <c r="T31" s="753"/>
      <c r="U31" s="753"/>
      <c r="V31" s="753"/>
      <c r="W31" s="753"/>
      <c r="X31" s="753"/>
      <c r="Y31" s="15"/>
      <c r="Z31" s="15"/>
      <c r="AB31" s="799" t="s">
        <v>389</v>
      </c>
      <c r="AC31" s="799"/>
      <c r="AD31" s="799"/>
      <c r="AE31" s="799"/>
      <c r="AF31" s="799"/>
      <c r="AG31" s="799"/>
      <c r="AH31" s="799"/>
      <c r="AI31" s="799"/>
      <c r="AJ31" s="799"/>
      <c r="AK31" s="799"/>
      <c r="AL31" s="795">
        <f>COUNTIFS('RC and FUNDS FOR YOU'!G15:G1613,"&gt;=13",'RC and FUNDS FOR YOU'!G15:G1613,"&lt;=17",'RC and FUNDS FOR YOU'!I15:I1613,"White / Caucasian ",'RC and FUNDS FOR YOU'!H15:H1613,"Male")</f>
        <v>0</v>
      </c>
      <c r="AM31" s="796"/>
      <c r="AN31" s="797">
        <f>COUNTIFS('RC and FUNDS FOR YOU'!G15:G1613,"&gt;=13",'RC and FUNDS FOR YOU'!G15:G1613,"&lt;=17",'RC and FUNDS FOR YOU'!I15:I1613,"White / Caucasian ",'RC and FUNDS FOR YOU'!H15:H1613,"Female")</f>
        <v>0</v>
      </c>
      <c r="AO31" s="798"/>
      <c r="AP31" s="795">
        <f>COUNTIFS('RC and FUNDS FOR YOU'!G15:G1613,"&gt;=13",'RC and FUNDS FOR YOU'!G15:G1613,"&lt;=17",'RC and FUNDS FOR YOU'!I15:I1613,"African American /Black",'RC and FUNDS FOR YOU'!H15:H1613,"Male")</f>
        <v>0</v>
      </c>
      <c r="AQ31" s="796"/>
      <c r="AR31" s="797">
        <f>COUNTIFS('RC and FUNDS FOR YOU'!G15:G1613,"&gt;=13",'RC and FUNDS FOR YOU'!G15:G1613,"&lt;=17",'RC and FUNDS FOR YOU'!I15:I1613,"African American /Black",'RC and FUNDS FOR YOU'!H15:H1613,"Female")</f>
        <v>0</v>
      </c>
      <c r="AS31" s="798"/>
      <c r="AT31" s="795">
        <f>COUNTIFS('RC and FUNDS FOR YOU'!G15:G1613,"&gt;=13",'RC and FUNDS FOR YOU'!G15:G1613,"&lt;=17",'RC and FUNDS FOR YOU'!I15:I1613,"Native Hawaiian/Pacific Islander",'RC and FUNDS FOR YOU'!H15:H1613,"Male")</f>
        <v>0</v>
      </c>
      <c r="AU31" s="796"/>
      <c r="AV31" s="797">
        <f>COUNTIFS('RC and FUNDS FOR YOU'!G15:G1613,"&gt;=13",'RC and FUNDS FOR YOU'!G15:G1613,"&lt;=17",'RC and FUNDS FOR YOU'!I15:I1613,"Native Hawaiian/Pacific Islander",'RC and FUNDS FOR YOU'!H15:H1613,"Female")</f>
        <v>0</v>
      </c>
      <c r="AW31" s="798"/>
      <c r="AX31" s="795">
        <f>COUNTIFS('RC and FUNDS FOR YOU'!G15:G1613,"&gt;=13",'RC and FUNDS FOR YOU'!G15:G1613,"&lt;=17",'RC and FUNDS FOR YOU'!I15:I1613,"Asian",'RC and FUNDS FOR YOU'!H15:H1613,"Male")</f>
        <v>0</v>
      </c>
      <c r="AY31" s="796"/>
      <c r="AZ31" s="797">
        <f>COUNTIFS('RC and FUNDS FOR YOU'!G15:G1613,"&gt;=13",'RC and FUNDS FOR YOU'!G15:G1613,"&lt;=17",'RC and FUNDS FOR YOU'!I15:I1613,"Asian",'RC and FUNDS FOR YOU'!H15:H1613,"Female")</f>
        <v>0</v>
      </c>
      <c r="BA31" s="798"/>
      <c r="BB31" s="795">
        <f>COUNTIFS('RC and FUNDS FOR YOU'!G15:G1613,"&gt;=13",'RC and FUNDS FOR YOU'!G15:G1613,"&lt;=17",'RC and FUNDS FOR YOU'!I15:I1613,"American Indian  / Alaska Native",'RC and FUNDS FOR YOU'!H15:H1613,"Male")</f>
        <v>0</v>
      </c>
      <c r="BC31" s="796"/>
      <c r="BD31" s="797">
        <f>COUNTIFS('RC and FUNDS FOR YOU'!G15:G1613,"&gt;=13",'RC and FUNDS FOR YOU'!G15:G1613,"&lt;=17",'RC and FUNDS FOR YOU'!I15:I1613,"American Indian  / Alaska Native",'RC and FUNDS FOR YOU'!H15:H1613,"Female")</f>
        <v>0</v>
      </c>
      <c r="BE31" s="798"/>
      <c r="BF31" s="795">
        <f>COUNTIFS('RC and FUNDS FOR YOU'!G15:G1613,"&gt;=13",'RC and FUNDS FOR YOU'!G15:G1613,"&lt;=17",'RC and FUNDS FOR YOU'!I15:I1613,"More than one race reported",'RC and FUNDS FOR YOU'!H15:H1613,"Male")</f>
        <v>0</v>
      </c>
      <c r="BG31" s="796"/>
      <c r="BH31" s="797">
        <f>COUNTIFS('RC and FUNDS FOR YOU'!G15:G1613,"&gt;=13",'RC and FUNDS FOR YOU'!G15:G1613,"&lt;=17",'RC and FUNDS FOR YOU'!I15:I1613,"More than one race reported",'RC and FUNDS FOR YOU'!H15:H1613,"Female")</f>
        <v>0</v>
      </c>
      <c r="BI31" s="798"/>
      <c r="BJ31" s="795">
        <f>COUNTIFS('RC and FUNDS FOR YOU'!G15:G1613,"&gt;=13",'RC and FUNDS FOR YOU'!G15:G1613,"&lt;=17",'RC and FUNDS FOR YOU'!I15:I1613,"Unknown",'RC and FUNDS FOR YOU'!H15:H1613,"Male")</f>
        <v>0</v>
      </c>
      <c r="BK31" s="796"/>
      <c r="BL31" s="797">
        <f>COUNTIFS('RC and FUNDS FOR YOU'!G15:G1613,"&gt;=13",'RC and FUNDS FOR YOU'!G15:G1613,"&lt;=17",'RC and FUNDS FOR YOU'!I15:I1613,"Unknown",'RC and FUNDS FOR YOU'!H15:H1613,"Female")</f>
        <v>0</v>
      </c>
      <c r="BM31" s="798"/>
      <c r="BN31" s="800">
        <f t="shared" ref="BN31:BN37" si="6">AL31+AP31+AT31+AX31+BB31+BF31+BJ31</f>
        <v>0</v>
      </c>
      <c r="BO31" s="801"/>
      <c r="BP31" s="800">
        <f t="shared" ref="BP31:BP37" si="7">AN31+AR31+AV31+AZ31+BD31+BH31+BL31</f>
        <v>0</v>
      </c>
      <c r="BQ31" s="801"/>
      <c r="BR31" s="375" t="s">
        <v>789</v>
      </c>
      <c r="BS31" s="702">
        <f>COUNTIFS('RC and FUNDS FOR YOU'!G15:G1613,"&gt;=13",'RC and FUNDS FOR YOU'!G15:G1613,"&lt;=17",'RC and FUNDS FOR YOU'!J15:J1613,"Not Hispanic or Latino",'RC and FUNDS FOR YOU'!H15:H1613,"Male")</f>
        <v>0</v>
      </c>
      <c r="BT31" s="703"/>
      <c r="BU31" s="700">
        <f>COUNTIFS('RC and FUNDS FOR YOU'!G15:G1613,"&gt;=13",'RC and FUNDS FOR YOU'!G15:G1613,"&lt;=17",'RC and FUNDS FOR YOU'!J15:J1613,"Not Hispanic or Latino",'RC and FUNDS FOR YOU'!H15:H1613,"Female")</f>
        <v>0</v>
      </c>
      <c r="BV31" s="701"/>
      <c r="BW31" s="702">
        <f>COUNTIFS('RC and FUNDS FOR YOU'!G15:G1613,"&gt;=13",'RC and FUNDS FOR YOU'!G15:G1613,"&lt;=17",'RC and FUNDS FOR YOU'!J15:J1613,"Hispanic-Latino ",'RC and FUNDS FOR YOU'!H15:H1613,"Male")</f>
        <v>0</v>
      </c>
      <c r="BX31" s="703"/>
      <c r="BY31" s="700">
        <f>COUNTIFS('RC and FUNDS FOR YOU'!G15:G1613,"&gt;=13",'RC and FUNDS FOR YOU'!G15:G1613,"&lt;=17",'RC and FUNDS FOR YOU'!J15:J1613,"Hispanic-Latino ",'RC and FUNDS FOR YOU'!H15:H1613,"Female")</f>
        <v>0</v>
      </c>
      <c r="BZ31" s="701"/>
      <c r="CA31" s="702">
        <f>COUNTIFS('RC and FUNDS FOR YOU'!G15:G1613,"&gt;=13",'RC and FUNDS FOR YOU'!G15:G1613,"&lt;=17",'RC and FUNDS FOR YOU'!J15:J1613,"Unknown",'RC and FUNDS FOR YOU'!H15:H1613,"Male")</f>
        <v>0</v>
      </c>
      <c r="CB31" s="703"/>
      <c r="CC31" s="700">
        <f>COUNTIFS('RC and FUNDS FOR YOU'!G15:G1613,"&gt;=13",'RC and FUNDS FOR YOU'!G15:G1613,"&lt;=17",'RC and FUNDS FOR YOU'!J15:J1613,"Unknown",'RC and FUNDS FOR YOU'!H15:H1613,"Female")</f>
        <v>0</v>
      </c>
      <c r="CD31" s="701"/>
      <c r="CE31" s="704">
        <f t="shared" ref="CE31:CE38" si="8">BS31+BW31+CA31</f>
        <v>0</v>
      </c>
      <c r="CF31" s="705"/>
      <c r="CG31" s="704">
        <f>BU31+BY31+CC31</f>
        <v>0</v>
      </c>
      <c r="CH31" s="705"/>
    </row>
    <row r="32" spans="1:94" ht="20.100000000000001" customHeight="1" x14ac:dyDescent="0.25">
      <c r="A32" s="19">
        <f t="shared" si="4"/>
        <v>4</v>
      </c>
      <c r="B32" s="738" t="s">
        <v>390</v>
      </c>
      <c r="C32" s="738"/>
      <c r="D32" s="738"/>
      <c r="E32" s="738"/>
      <c r="F32" s="738"/>
      <c r="G32" s="753">
        <f>COUNTIFS('RC and FUNDS FOR YOU'!F15:F4691,"Boone")</f>
        <v>0</v>
      </c>
      <c r="H32" s="753"/>
      <c r="I32" s="753"/>
      <c r="J32" s="753"/>
      <c r="K32" s="753"/>
      <c r="L32" s="753"/>
      <c r="M32" s="19">
        <f t="shared" si="5"/>
        <v>48</v>
      </c>
      <c r="N32" s="738" t="s">
        <v>391</v>
      </c>
      <c r="O32" s="738"/>
      <c r="P32" s="738"/>
      <c r="Q32" s="738"/>
      <c r="R32" s="738"/>
      <c r="S32" s="753">
        <f>COUNTIFS('RC and FUNDS FOR YOU'!F15:F4691,"Monongalia")</f>
        <v>0</v>
      </c>
      <c r="T32" s="753"/>
      <c r="U32" s="753"/>
      <c r="V32" s="753"/>
      <c r="W32" s="753"/>
      <c r="X32" s="753"/>
      <c r="Y32" s="15"/>
      <c r="Z32" s="15"/>
      <c r="AB32" s="799" t="s">
        <v>392</v>
      </c>
      <c r="AC32" s="799"/>
      <c r="AD32" s="799"/>
      <c r="AE32" s="799"/>
      <c r="AF32" s="799"/>
      <c r="AG32" s="799"/>
      <c r="AH32" s="799"/>
      <c r="AI32" s="799"/>
      <c r="AJ32" s="799"/>
      <c r="AK32" s="799"/>
      <c r="AL32" s="795">
        <f>COUNTIFS('RC and FUNDS FOR YOU'!G15:G1613,"&gt;=18",'RC and FUNDS FOR YOU'!G15:G1613,"&lt;=20",'RC and FUNDS FOR YOU'!I15:I1613,"White / Caucasian ",'RC and FUNDS FOR YOU'!H15:H1613,"Male")</f>
        <v>0</v>
      </c>
      <c r="AM32" s="796"/>
      <c r="AN32" s="797">
        <f>COUNTIFS('RC and FUNDS FOR YOU'!G15:G1613,"&gt;=18",'RC and FUNDS FOR YOU'!G15:G1613,"&lt;=20",'RC and FUNDS FOR YOU'!I15:I1613,"White / Caucasian ",'RC and FUNDS FOR YOU'!H15:H1613,"Female")</f>
        <v>0</v>
      </c>
      <c r="AO32" s="798"/>
      <c r="AP32" s="795">
        <f>COUNTIFS('RC and FUNDS FOR YOU'!G15:G1613,"&gt;=18",'RC and FUNDS FOR YOU'!G15:G1613,"&lt;=20",'RC and FUNDS FOR YOU'!I15:I1613,"African American /Black",'RC and FUNDS FOR YOU'!H15:H1613,"Male")</f>
        <v>0</v>
      </c>
      <c r="AQ32" s="796"/>
      <c r="AR32" s="797">
        <f>COUNTIFS('RC and FUNDS FOR YOU'!G15:G1613,"&gt;=18",'RC and FUNDS FOR YOU'!G15:G1613,"&lt;=20",'RC and FUNDS FOR YOU'!I15:I1613,"African American /Black",'RC and FUNDS FOR YOU'!H15:H1613,"Female")</f>
        <v>0</v>
      </c>
      <c r="AS32" s="798"/>
      <c r="AT32" s="795">
        <f>COUNTIFS('RC and FUNDS FOR YOU'!G15:G1613,"&gt;=18",'RC and FUNDS FOR YOU'!G15:G1613,"&lt;=20",'RC and FUNDS FOR YOU'!I15:I1613,"Native Hawaiian/Pacific Islander",'RC and FUNDS FOR YOU'!H15:H1613,"Male")</f>
        <v>0</v>
      </c>
      <c r="AU32" s="796"/>
      <c r="AV32" s="797">
        <f>COUNTIFS('RC and FUNDS FOR YOU'!G15:G1613,"&gt;=18",'RC and FUNDS FOR YOU'!G15:G1613,"&lt;=20",'RC and FUNDS FOR YOU'!I15:I1613,"Native Hawaiian/Pacific Islander",'RC and FUNDS FOR YOU'!H15:H1613,"Female")</f>
        <v>0</v>
      </c>
      <c r="AW32" s="798"/>
      <c r="AX32" s="795">
        <f>COUNTIFS('RC and FUNDS FOR YOU'!G15:G1613,"&gt;=18",'RC and FUNDS FOR YOU'!G15:G1613,"&lt;=20",'RC and FUNDS FOR YOU'!I15:I1613,"Asian",'RC and FUNDS FOR YOU'!H15:H1613,"Male")</f>
        <v>0</v>
      </c>
      <c r="AY32" s="796"/>
      <c r="AZ32" s="797">
        <f>COUNTIFS('RC and FUNDS FOR YOU'!G15:G1613,"&gt;=18",'RC and FUNDS FOR YOU'!G15:G1613,"&lt;=20",'RC and FUNDS FOR YOU'!I15:I1613,"Asian",'RC and FUNDS FOR YOU'!H15:H1613,"Female")</f>
        <v>0</v>
      </c>
      <c r="BA32" s="798"/>
      <c r="BB32" s="795">
        <f>COUNTIFS('RC and FUNDS FOR YOU'!G15:G1613,"&gt;=18",'RC and FUNDS FOR YOU'!G15:G1613,"&lt;=20",'RC and FUNDS FOR YOU'!I15:I1613,"American Indian  / Alaska Native",'RC and FUNDS FOR YOU'!H15:H1613,"Male")</f>
        <v>0</v>
      </c>
      <c r="BC32" s="796"/>
      <c r="BD32" s="797">
        <f>COUNTIFS('RC and FUNDS FOR YOU'!G15:G1613,"&gt;=18",'RC and FUNDS FOR YOU'!G15:G1613,"&lt;=20",'RC and FUNDS FOR YOU'!I15:I1613,"American Indian  / Alaska Native",'RC and FUNDS FOR YOU'!H15:H1613,"Female")</f>
        <v>0</v>
      </c>
      <c r="BE32" s="798"/>
      <c r="BF32" s="795">
        <f>COUNTIFS('RC and FUNDS FOR YOU'!G15:G1613,"&gt;=18",'RC and FUNDS FOR YOU'!G15:G1613,"&lt;=20",'RC and FUNDS FOR YOU'!I15:I1613,"More than one race reported",'RC and FUNDS FOR YOU'!H15:H1613,"Male")</f>
        <v>0</v>
      </c>
      <c r="BG32" s="796"/>
      <c r="BH32" s="797">
        <f>COUNTIFS('RC and FUNDS FOR YOU'!G15:G1613,"&gt;=18",'RC and FUNDS FOR YOU'!G15:G1613,"&lt;=20",'RC and FUNDS FOR YOU'!I15:I1613,"More than one race reported",'RC and FUNDS FOR YOU'!H15:H1613,"Female")</f>
        <v>0</v>
      </c>
      <c r="BI32" s="798"/>
      <c r="BJ32" s="795">
        <f>COUNTIFS('RC and FUNDS FOR YOU'!G15:G1613,"&gt;=18",'RC and FUNDS FOR YOU'!G15:G1613,"&lt;=20",'RC and FUNDS FOR YOU'!I15:I1613,"Unknown",'RC and FUNDS FOR YOU'!H15:H1613,"Male")</f>
        <v>0</v>
      </c>
      <c r="BK32" s="796"/>
      <c r="BL32" s="797">
        <f>COUNTIFS('RC and FUNDS FOR YOU'!G15:G1613,"&gt;=18",'RC and FUNDS FOR YOU'!G15:G1613,"&lt;=20",'RC and FUNDS FOR YOU'!I15:I1613,"Unknown",'RC and FUNDS FOR YOU'!H15:H1613,"Female")</f>
        <v>0</v>
      </c>
      <c r="BM32" s="798"/>
      <c r="BN32" s="800">
        <f t="shared" si="6"/>
        <v>0</v>
      </c>
      <c r="BO32" s="801"/>
      <c r="BP32" s="800">
        <f t="shared" si="7"/>
        <v>0</v>
      </c>
      <c r="BQ32" s="801"/>
      <c r="BR32" s="375" t="s">
        <v>790</v>
      </c>
      <c r="BS32" s="702">
        <f>COUNTIFS('RC and FUNDS FOR YOU'!G15:G1613,"&gt;=18",'RC and FUNDS FOR YOU'!G15:G1613,"&lt;=20",'RC and FUNDS FOR YOU'!J15:J1613,"Not Hispanic or Latino",'RC and FUNDS FOR YOU'!H15:H1613,"Male")</f>
        <v>0</v>
      </c>
      <c r="BT32" s="703"/>
      <c r="BU32" s="700">
        <f>COUNTIFS('RC and FUNDS FOR YOU'!G15:G1613,"&gt;=18",'RC and FUNDS FOR YOU'!G15:G1613,"&lt;=20",'RC and FUNDS FOR YOU'!J15:J1613,"Not Hispanic or Latino",'RC and FUNDS FOR YOU'!H15:H1613,"Female")</f>
        <v>0</v>
      </c>
      <c r="BV32" s="701"/>
      <c r="BW32" s="702">
        <f>COUNTIFS('RC and FUNDS FOR YOU'!G15:G1613,"&gt;=18",'RC and FUNDS FOR YOU'!G15:G1613,"&lt;=20",'RC and FUNDS FOR YOU'!J15:J1613,"Hispanic-Latino ",'RC and FUNDS FOR YOU'!H15:H1613,"Male")</f>
        <v>0</v>
      </c>
      <c r="BX32" s="703"/>
      <c r="BY32" s="700">
        <f>COUNTIFS('RC and FUNDS FOR YOU'!G15:G1613,"&gt;=18",'RC and FUNDS FOR YOU'!G15:G1613,"&lt;=20",'RC and FUNDS FOR YOU'!J15:J1613,"Hispanic-Latino ",'RC and FUNDS FOR YOU'!H15:H1613,"Female")</f>
        <v>0</v>
      </c>
      <c r="BZ32" s="701"/>
      <c r="CA32" s="702">
        <f>COUNTIFS('RC and FUNDS FOR YOU'!G15:G1613,"&gt;=18",'RC and FUNDS FOR YOU'!G15:G1613,"&lt;=20",'RC and FUNDS FOR YOU'!J15:J1613,"Unknown",'RC and FUNDS FOR YOU'!H15:H1613,"Male")</f>
        <v>0</v>
      </c>
      <c r="CB32" s="703"/>
      <c r="CC32" s="700">
        <f>COUNTIFS('RC and FUNDS FOR YOU'!G15:G1613,"&gt;=18",'RC and FUNDS FOR YOU'!G15:G1613,"&lt;=20",'RC and FUNDS FOR YOU'!J15:J1613,"Unknown",'RC and FUNDS FOR YOU'!H15:H1613,"Female")</f>
        <v>0</v>
      </c>
      <c r="CD32" s="701"/>
      <c r="CE32" s="704">
        <f t="shared" si="8"/>
        <v>0</v>
      </c>
      <c r="CF32" s="705"/>
      <c r="CG32" s="704">
        <f t="shared" ref="CG32:CG38" si="9">BU32+BY32+CC32</f>
        <v>0</v>
      </c>
      <c r="CH32" s="705"/>
    </row>
    <row r="33" spans="1:100" ht="20.100000000000001" customHeight="1" x14ac:dyDescent="0.25">
      <c r="A33" s="19">
        <f t="shared" si="4"/>
        <v>5</v>
      </c>
      <c r="B33" s="738" t="s">
        <v>393</v>
      </c>
      <c r="C33" s="738"/>
      <c r="D33" s="738"/>
      <c r="E33" s="738"/>
      <c r="F33" s="738"/>
      <c r="G33" s="753">
        <f>COUNTIFS('RC and FUNDS FOR YOU'!F15:F4691,"Braxton")</f>
        <v>0</v>
      </c>
      <c r="H33" s="753"/>
      <c r="I33" s="753"/>
      <c r="J33" s="753"/>
      <c r="K33" s="753"/>
      <c r="L33" s="753"/>
      <c r="M33" s="19">
        <f t="shared" si="5"/>
        <v>49</v>
      </c>
      <c r="N33" s="738" t="s">
        <v>394</v>
      </c>
      <c r="O33" s="738"/>
      <c r="P33" s="738"/>
      <c r="Q33" s="738"/>
      <c r="R33" s="738"/>
      <c r="S33" s="753">
        <f>COUNTIFS('RC and FUNDS FOR YOU'!F15:F4691,"Monroe")</f>
        <v>0</v>
      </c>
      <c r="T33" s="753"/>
      <c r="U33" s="753"/>
      <c r="V33" s="753"/>
      <c r="W33" s="753"/>
      <c r="X33" s="753"/>
      <c r="Y33" s="15"/>
      <c r="Z33" s="15"/>
      <c r="AB33" s="799" t="s">
        <v>395</v>
      </c>
      <c r="AC33" s="799"/>
      <c r="AD33" s="799"/>
      <c r="AE33" s="799"/>
      <c r="AF33" s="799"/>
      <c r="AG33" s="799"/>
      <c r="AH33" s="799"/>
      <c r="AI33" s="799"/>
      <c r="AJ33" s="799"/>
      <c r="AK33" s="799"/>
      <c r="AL33" s="795">
        <f>COUNTIFS('RC and FUNDS FOR YOU'!G15:G1613,"&gt;=21",'RC and FUNDS FOR YOU'!G15:G1613,"&lt;=24",'RC and FUNDS FOR YOU'!I15:I1613,"White / Caucasian ",'RC and FUNDS FOR YOU'!H15:H1613,"Male")</f>
        <v>0</v>
      </c>
      <c r="AM33" s="796"/>
      <c r="AN33" s="797">
        <f>COUNTIFS('RC and FUNDS FOR YOU'!G15:G1613,"&gt;=21",'RC and FUNDS FOR YOU'!G15:G1613,"&lt;=24",'RC and FUNDS FOR YOU'!I15:I1613,"White / Caucasian ",'RC and FUNDS FOR YOU'!H15:H1613,"Female")</f>
        <v>0</v>
      </c>
      <c r="AO33" s="798"/>
      <c r="AP33" s="795">
        <f>COUNTIFS('RC and FUNDS FOR YOU'!G15:G1613,"&gt;=21",'RC and FUNDS FOR YOU'!G15:G1613,"&lt;=24",'RC and FUNDS FOR YOU'!I15:I1613,"African American /Black",'RC and FUNDS FOR YOU'!H15:H1613,"Male")</f>
        <v>0</v>
      </c>
      <c r="AQ33" s="796"/>
      <c r="AR33" s="797">
        <f>COUNTIFS('RC and FUNDS FOR YOU'!G15:G1613,"&gt;=21",'RC and FUNDS FOR YOU'!G15:G1613,"&lt;=24",'RC and FUNDS FOR YOU'!I15:I1613,"African American /Black",'RC and FUNDS FOR YOU'!H15:H1613,"Female")</f>
        <v>0</v>
      </c>
      <c r="AS33" s="798"/>
      <c r="AT33" s="795">
        <f>COUNTIFS('RC and FUNDS FOR YOU'!G15:G1613,"&gt;=21",'RC and FUNDS FOR YOU'!G15:G1613,"&lt;=24",'RC and FUNDS FOR YOU'!I15:I1613,"Native Hawaiian/Pacific Islander",'RC and FUNDS FOR YOU'!H15:H1613,"Male")</f>
        <v>0</v>
      </c>
      <c r="AU33" s="796"/>
      <c r="AV33" s="797">
        <f>COUNTIFS('RC and FUNDS FOR YOU'!G15:G1613,"&gt;=21",'RC and FUNDS FOR YOU'!G15:G1613,"&lt;=24",'RC and FUNDS FOR YOU'!I15:I1613,"Native Hawaiian/Pacific Islander",'RC and FUNDS FOR YOU'!H15:H1613,"Female")</f>
        <v>0</v>
      </c>
      <c r="AW33" s="798"/>
      <c r="AX33" s="795">
        <f>COUNTIFS('RC and FUNDS FOR YOU'!G15:G1613,"&gt;=21",'RC and FUNDS FOR YOU'!G15:G1613,"&lt;=24",'RC and FUNDS FOR YOU'!I15:I1613,"Asian",'RC and FUNDS FOR YOU'!H15:H1613,"Male")</f>
        <v>0</v>
      </c>
      <c r="AY33" s="796"/>
      <c r="AZ33" s="797">
        <f>COUNTIFS('RC and FUNDS FOR YOU'!G15:G1613,"&gt;=21",'RC and FUNDS FOR YOU'!G15:G1613,"&lt;=24",'RC and FUNDS FOR YOU'!I15:I1613,"Asian",'RC and FUNDS FOR YOU'!H15:H1613,"Female")</f>
        <v>0</v>
      </c>
      <c r="BA33" s="798"/>
      <c r="BB33" s="795">
        <f>COUNTIFS('RC and FUNDS FOR YOU'!G15:G1613,"&gt;=21",'RC and FUNDS FOR YOU'!G15:G1613,"&lt;=24",'RC and FUNDS FOR YOU'!I15:I1613,"American Indian  / Alaska Native",'RC and FUNDS FOR YOU'!H15:H1613,"Male")</f>
        <v>0</v>
      </c>
      <c r="BC33" s="796"/>
      <c r="BD33" s="797">
        <f>COUNTIFS('RC and FUNDS FOR YOU'!G15:G1613,"&gt;=21",'RC and FUNDS FOR YOU'!G15:G1613,"&lt;=24",'RC and FUNDS FOR YOU'!I15:I1613,"American Indian  / Alaska Native",'RC and FUNDS FOR YOU'!H15:H1613,"Female")</f>
        <v>0</v>
      </c>
      <c r="BE33" s="798"/>
      <c r="BF33" s="795">
        <f>COUNTIFS('RC and FUNDS FOR YOU'!G15:G1613,"&gt;=21",'RC and FUNDS FOR YOU'!G15:G1613,"&lt;=24",'RC and FUNDS FOR YOU'!I15:I1613,"More than one race reported",'RC and FUNDS FOR YOU'!H15:H1613,"Male")</f>
        <v>0</v>
      </c>
      <c r="BG33" s="796"/>
      <c r="BH33" s="797">
        <f>COUNTIFS('RC and FUNDS FOR YOU'!G15:G1613,"&gt;=21",'RC and FUNDS FOR YOU'!G15:G1613,"&lt;=24",'RC and FUNDS FOR YOU'!I15:I1613,"More than one race reported",'RC and FUNDS FOR YOU'!H15:H1613,"Female")</f>
        <v>0</v>
      </c>
      <c r="BI33" s="798"/>
      <c r="BJ33" s="795">
        <f>COUNTIFS('RC and FUNDS FOR YOU'!G15:G1613,"&gt;=21",'RC and FUNDS FOR YOU'!G15:G1613,"&lt;=24",'RC and FUNDS FOR YOU'!I15:I1613,"Unknown",'RC and FUNDS FOR YOU'!H15:H1613,"Male")</f>
        <v>0</v>
      </c>
      <c r="BK33" s="796"/>
      <c r="BL33" s="797">
        <f>COUNTIFS('RC and FUNDS FOR YOU'!G15:G1613,"&gt;=21",'RC and FUNDS FOR YOU'!G15:G1613,"&lt;=24",'RC and FUNDS FOR YOU'!I15:I1613,"Unknown",'RC and FUNDS FOR YOU'!H15:H1613,"Female")</f>
        <v>0</v>
      </c>
      <c r="BM33" s="798"/>
      <c r="BN33" s="800">
        <f t="shared" si="6"/>
        <v>0</v>
      </c>
      <c r="BO33" s="801"/>
      <c r="BP33" s="800">
        <f t="shared" si="7"/>
        <v>0</v>
      </c>
      <c r="BQ33" s="801"/>
      <c r="BR33" s="375" t="s">
        <v>791</v>
      </c>
      <c r="BS33" s="702">
        <f>COUNTIFS('RC and FUNDS FOR YOU'!G15:G1613,"&gt;=21",'RC and FUNDS FOR YOU'!G15:G1613,"&lt;=24",'RC and FUNDS FOR YOU'!J15:J1613,"Not Hispanic or Latino",'RC and FUNDS FOR YOU'!H15:H1613,"Male")</f>
        <v>0</v>
      </c>
      <c r="BT33" s="703"/>
      <c r="BU33" s="700">
        <f>COUNTIFS('RC and FUNDS FOR YOU'!G15:G1613,"&gt;=21",'RC and FUNDS FOR YOU'!G15:G1613,"&lt;=24",'RC and FUNDS FOR YOU'!J15:J1613,"Not Hispanic or Latino",'RC and FUNDS FOR YOU'!H15:H1613,"Female")</f>
        <v>0</v>
      </c>
      <c r="BV33" s="701"/>
      <c r="BW33" s="702">
        <f>COUNTIFS('RC and FUNDS FOR YOU'!G15:G1613,"&gt;=21",'RC and FUNDS FOR YOU'!G15:G1613,"&lt;=24",'RC and FUNDS FOR YOU'!J15:J1613,"Hispanic-Latino ",'RC and FUNDS FOR YOU'!H15:H1613,"Male")</f>
        <v>0</v>
      </c>
      <c r="BX33" s="703"/>
      <c r="BY33" s="700">
        <f>COUNTIFS('RC and FUNDS FOR YOU'!G15:G1613,"&gt;=21",'RC and FUNDS FOR YOU'!G15:G1613,"&lt;=24",'RC and FUNDS FOR YOU'!J15:J1613,"Hispanic-Latino ",'RC and FUNDS FOR YOU'!H15:H1613,"Female")</f>
        <v>0</v>
      </c>
      <c r="BZ33" s="701"/>
      <c r="CA33" s="702">
        <f>COUNTIFS('RC and FUNDS FOR YOU'!G15:G1613,"&gt;=21",'RC and FUNDS FOR YOU'!G15:G1613,"&lt;=24",'RC and FUNDS FOR YOU'!J15:J1613,"Unknown",'RC and FUNDS FOR YOU'!H15:H1613,"Male")</f>
        <v>0</v>
      </c>
      <c r="CB33" s="703"/>
      <c r="CC33" s="700">
        <f>COUNTIFS('RC and FUNDS FOR YOU'!G15:G1613,"&gt;=21",'RC and FUNDS FOR YOU'!G15:G1613,"&lt;=24",'RC and FUNDS FOR YOU'!J15:J1613,"Unknown",'RC and FUNDS FOR YOU'!H15:H1613,"Female")</f>
        <v>0</v>
      </c>
      <c r="CD33" s="701"/>
      <c r="CE33" s="704">
        <f t="shared" si="8"/>
        <v>0</v>
      </c>
      <c r="CF33" s="705"/>
      <c r="CG33" s="704">
        <f t="shared" si="9"/>
        <v>0</v>
      </c>
      <c r="CH33" s="705"/>
    </row>
    <row r="34" spans="1:100" ht="20.100000000000001" customHeight="1" x14ac:dyDescent="0.25">
      <c r="A34" s="19">
        <f t="shared" si="4"/>
        <v>6</v>
      </c>
      <c r="B34" s="739" t="s">
        <v>396</v>
      </c>
      <c r="C34" s="739"/>
      <c r="D34" s="739"/>
      <c r="E34" s="739"/>
      <c r="F34" s="739"/>
      <c r="G34" s="753">
        <f>COUNTIFS('RC and FUNDS FOR YOU'!F15:F4691,"Brooke")</f>
        <v>0</v>
      </c>
      <c r="H34" s="753"/>
      <c r="I34" s="753"/>
      <c r="J34" s="753"/>
      <c r="K34" s="753"/>
      <c r="L34" s="753"/>
      <c r="M34" s="19">
        <f t="shared" si="5"/>
        <v>50</v>
      </c>
      <c r="N34" s="738" t="s">
        <v>397</v>
      </c>
      <c r="O34" s="738"/>
      <c r="P34" s="738"/>
      <c r="Q34" s="738"/>
      <c r="R34" s="738"/>
      <c r="S34" s="753">
        <f>COUNTIFS('RC and FUNDS FOR YOU'!F15:F4691,"Morgan")</f>
        <v>0</v>
      </c>
      <c r="T34" s="753"/>
      <c r="U34" s="753"/>
      <c r="V34" s="753"/>
      <c r="W34" s="753"/>
      <c r="X34" s="753"/>
      <c r="Y34" s="15"/>
      <c r="Z34" s="15"/>
      <c r="AB34" s="799" t="s">
        <v>398</v>
      </c>
      <c r="AC34" s="799"/>
      <c r="AD34" s="799"/>
      <c r="AE34" s="799"/>
      <c r="AF34" s="799"/>
      <c r="AG34" s="799"/>
      <c r="AH34" s="799"/>
      <c r="AI34" s="799"/>
      <c r="AJ34" s="799"/>
      <c r="AK34" s="799"/>
      <c r="AL34" s="795">
        <f>COUNTIFS('RC and FUNDS FOR YOU'!G15:G1613,"&gt;=25",'RC and FUNDS FOR YOU'!G15:G1613,"&lt;=44",'RC and FUNDS FOR YOU'!I15:I1613,"White / Caucasian ",'RC and FUNDS FOR YOU'!H15:H1613,"Male")</f>
        <v>0</v>
      </c>
      <c r="AM34" s="796"/>
      <c r="AN34" s="797">
        <f>COUNTIFS('RC and FUNDS FOR YOU'!G15:G1613,"&gt;=25",'RC and FUNDS FOR YOU'!G15:G1613,"&lt;=44",'RC and FUNDS FOR YOU'!I15:I1613,"White / Caucasian ",'RC and FUNDS FOR YOU'!H15:H1613,"Female")</f>
        <v>0</v>
      </c>
      <c r="AO34" s="798"/>
      <c r="AP34" s="795">
        <f>COUNTIFS('RC and FUNDS FOR YOU'!G15:G1613,"&gt;=25",'RC and FUNDS FOR YOU'!G15:G1613,"&lt;=44",'RC and FUNDS FOR YOU'!I15:I1613,"African American /Black",'RC and FUNDS FOR YOU'!H15:H1613,"Male")</f>
        <v>0</v>
      </c>
      <c r="AQ34" s="796"/>
      <c r="AR34" s="797">
        <f>COUNTIFS('RC and FUNDS FOR YOU'!G15:G1613,"&gt;=25",'RC and FUNDS FOR YOU'!G15:G1613,"&lt;=44",'RC and FUNDS FOR YOU'!I15:I1613,"African American /Black",'RC and FUNDS FOR YOU'!H15:H1613,"Female")</f>
        <v>0</v>
      </c>
      <c r="AS34" s="798"/>
      <c r="AT34" s="795">
        <f>COUNTIFS('RC and FUNDS FOR YOU'!G15:G1613,"&gt;=25",'RC and FUNDS FOR YOU'!G15:G1613,"&lt;=44",'RC and FUNDS FOR YOU'!I15:I1613,"Native Hawaiian/Pacific Islander",'RC and FUNDS FOR YOU'!H15:H1613,"Male")</f>
        <v>0</v>
      </c>
      <c r="AU34" s="796"/>
      <c r="AV34" s="797">
        <f>COUNTIFS('RC and FUNDS FOR YOU'!G15:G1613,"&gt;=25",'RC and FUNDS FOR YOU'!G15:G1613,"&lt;=44",'RC and FUNDS FOR YOU'!I15:I1613,"Native Hawaiian/Pacific Islander",'RC and FUNDS FOR YOU'!H15:H1613,"Female")</f>
        <v>0</v>
      </c>
      <c r="AW34" s="798"/>
      <c r="AX34" s="795">
        <f>COUNTIFS('RC and FUNDS FOR YOU'!G15:G1613,"&gt;=25",'RC and FUNDS FOR YOU'!G15:G1613,"&lt;=44",'RC and FUNDS FOR YOU'!I15:I1613,"Asian",'RC and FUNDS FOR YOU'!H15:H1613,"Male")</f>
        <v>0</v>
      </c>
      <c r="AY34" s="796"/>
      <c r="AZ34" s="797">
        <f>COUNTIFS('RC and FUNDS FOR YOU'!G15:G1613,"&gt;=25",'RC and FUNDS FOR YOU'!G15:G1613,"&lt;=44",'RC and FUNDS FOR YOU'!I15:I1613,"Asian",'RC and FUNDS FOR YOU'!H15:H1613,"Female")</f>
        <v>0</v>
      </c>
      <c r="BA34" s="798"/>
      <c r="BB34" s="795">
        <f>COUNTIFS('RC and FUNDS FOR YOU'!G15:G1613,"&gt;=25",'RC and FUNDS FOR YOU'!G15:G1613,"&lt;=44",'RC and FUNDS FOR YOU'!I15:I1613,"American Indian  / Alaska Native",'RC and FUNDS FOR YOU'!H15:H1613,"Male")</f>
        <v>0</v>
      </c>
      <c r="BC34" s="796"/>
      <c r="BD34" s="797">
        <f>COUNTIFS('RC and FUNDS FOR YOU'!G15:G1613,"&gt;=25",'RC and FUNDS FOR YOU'!G15:G1613,"&lt;=44",'RC and FUNDS FOR YOU'!I15:I1613,"American Indian  / Alaska Native",'RC and FUNDS FOR YOU'!H15:H1613,"Female")</f>
        <v>0</v>
      </c>
      <c r="BE34" s="798"/>
      <c r="BF34" s="795">
        <f>COUNTIFS('RC and FUNDS FOR YOU'!G15:G1613,"&gt;=25",'RC and FUNDS FOR YOU'!G15:G1613,"&lt;=44",'RC and FUNDS FOR YOU'!I15:I1613,"More than one race reported",'RC and FUNDS FOR YOU'!H15:H1613,"Male")</f>
        <v>0</v>
      </c>
      <c r="BG34" s="796"/>
      <c r="BH34" s="797">
        <f>COUNTIFS('RC and FUNDS FOR YOU'!G15:G1613,"&gt;=25",'RC and FUNDS FOR YOU'!G15:G1613,"&lt;=44",'RC and FUNDS FOR YOU'!I15:I1613,"More than one race reported",'RC and FUNDS FOR YOU'!H15:H1613,"Female")</f>
        <v>0</v>
      </c>
      <c r="BI34" s="798"/>
      <c r="BJ34" s="795">
        <f>COUNTIFS('RC and FUNDS FOR YOU'!G15:G1613,"&gt;=25",'RC and FUNDS FOR YOU'!G15:G1613,"&lt;=44",'RC and FUNDS FOR YOU'!I15:I1613,"Unknown",'RC and FUNDS FOR YOU'!H15:H1613,"Male")</f>
        <v>0</v>
      </c>
      <c r="BK34" s="796"/>
      <c r="BL34" s="797">
        <f>COUNTIFS('RC and FUNDS FOR YOU'!G15:G1613,"&gt;=25",'RC and FUNDS FOR YOU'!G15:G1613,"&lt;=44",'RC and FUNDS FOR YOU'!I15:I1613,"Unknown",'RC and FUNDS FOR YOU'!H15:H1613,"Female")</f>
        <v>0</v>
      </c>
      <c r="BM34" s="798"/>
      <c r="BN34" s="800">
        <f t="shared" si="6"/>
        <v>0</v>
      </c>
      <c r="BO34" s="801"/>
      <c r="BP34" s="800">
        <f t="shared" si="7"/>
        <v>0</v>
      </c>
      <c r="BQ34" s="801"/>
      <c r="BR34" s="375" t="s">
        <v>792</v>
      </c>
      <c r="BS34" s="702">
        <f>COUNTIFS('RC and FUNDS FOR YOU'!G15:G1612,"&gt;=25",'RC and FUNDS FOR YOU'!G15:G1612,"&lt;=44",'RC and FUNDS FOR YOU'!J15:J1612,"Not Hispanic or Latino",'RC and FUNDS FOR YOU'!H15:H1612,"Male")</f>
        <v>0</v>
      </c>
      <c r="BT34" s="703"/>
      <c r="BU34" s="700">
        <f>COUNTIFS('RC and FUNDS FOR YOU'!G15:G1612,"&gt;=25",'RC and FUNDS FOR YOU'!G15:G1612,"&lt;=44",'RC and FUNDS FOR YOU'!J15:J1612,"Not Hispanic or Latino",'RC and FUNDS FOR YOU'!H15:H1612,"Female")</f>
        <v>0</v>
      </c>
      <c r="BV34" s="701"/>
      <c r="BW34" s="702">
        <f>COUNTIFS('RC and FUNDS FOR YOU'!G15:G1613,"&gt;=25",'RC and FUNDS FOR YOU'!G15:G1613,"&lt;=44",'RC and FUNDS FOR YOU'!J15:J1613,"Hispanic-Latino ",'RC and FUNDS FOR YOU'!H15:H1613,"Male")</f>
        <v>0</v>
      </c>
      <c r="BX34" s="703"/>
      <c r="BY34" s="700">
        <f>COUNTIFS('RC and FUNDS FOR YOU'!G15:G1613,"&gt;=25",'RC and FUNDS FOR YOU'!G15:G1613,"&lt;=44",'RC and FUNDS FOR YOU'!J15:J1613,"Hispanic-Latino ",'RC and FUNDS FOR YOU'!H15:H1613,"Female")</f>
        <v>0</v>
      </c>
      <c r="BZ34" s="701"/>
      <c r="CA34" s="702">
        <f>COUNTIFS('RC and FUNDS FOR YOU'!G15:G1613,"&gt;=25",'RC and FUNDS FOR YOU'!G15:G1613,"&lt;=44",'RC and FUNDS FOR YOU'!J15:J1613,"Unknown",'RC and FUNDS FOR YOU'!H15:H1613,"Male")</f>
        <v>0</v>
      </c>
      <c r="CB34" s="703"/>
      <c r="CC34" s="700">
        <f>COUNTIFS('RC and FUNDS FOR YOU'!G15:G1613,"&gt;=25",'RC and FUNDS FOR YOU'!G15:G1613,"&lt;=44",'RC and FUNDS FOR YOU'!J15:J1613,"Unknown",'RC and FUNDS FOR YOU'!H15:H1613,"Female")</f>
        <v>0</v>
      </c>
      <c r="CD34" s="701"/>
      <c r="CE34" s="704">
        <f t="shared" si="8"/>
        <v>0</v>
      </c>
      <c r="CF34" s="705"/>
      <c r="CG34" s="704">
        <f t="shared" si="9"/>
        <v>0</v>
      </c>
      <c r="CH34" s="705"/>
    </row>
    <row r="35" spans="1:100" ht="20.100000000000001" customHeight="1" x14ac:dyDescent="0.25">
      <c r="A35" s="19">
        <f t="shared" si="4"/>
        <v>7</v>
      </c>
      <c r="B35" s="738" t="s">
        <v>399</v>
      </c>
      <c r="C35" s="738"/>
      <c r="D35" s="738"/>
      <c r="E35" s="738"/>
      <c r="F35" s="738"/>
      <c r="G35" s="753">
        <f>COUNTIFS('RC and FUNDS FOR YOU'!F15:F4691,"Cabell")</f>
        <v>0</v>
      </c>
      <c r="H35" s="753"/>
      <c r="I35" s="753"/>
      <c r="J35" s="753"/>
      <c r="K35" s="753"/>
      <c r="L35" s="753"/>
      <c r="M35" s="19">
        <f t="shared" si="5"/>
        <v>51</v>
      </c>
      <c r="N35" s="738" t="s">
        <v>400</v>
      </c>
      <c r="O35" s="738"/>
      <c r="P35" s="738"/>
      <c r="Q35" s="738"/>
      <c r="R35" s="738"/>
      <c r="S35" s="753">
        <f>COUNTIFS('RC and FUNDS FOR YOU'!F15:F4691,"Nicholas")</f>
        <v>0</v>
      </c>
      <c r="T35" s="753"/>
      <c r="U35" s="753"/>
      <c r="V35" s="753"/>
      <c r="W35" s="753"/>
      <c r="X35" s="753"/>
      <c r="Y35" s="15"/>
      <c r="Z35" s="15"/>
      <c r="AB35" s="799" t="s">
        <v>401</v>
      </c>
      <c r="AC35" s="799"/>
      <c r="AD35" s="799"/>
      <c r="AE35" s="799"/>
      <c r="AF35" s="799"/>
      <c r="AG35" s="799"/>
      <c r="AH35" s="799"/>
      <c r="AI35" s="799"/>
      <c r="AJ35" s="799"/>
      <c r="AK35" s="799"/>
      <c r="AL35" s="795">
        <f>COUNTIFS('RC and FUNDS FOR YOU'!G15:G1613,"&gt;=45",'RC and FUNDS FOR YOU'!G15:G1613,"&lt;=64",'RC and FUNDS FOR YOU'!I15:I1613,"White / Caucasian ",'RC and FUNDS FOR YOU'!H15:H1613,"Male")</f>
        <v>0</v>
      </c>
      <c r="AM35" s="796"/>
      <c r="AN35" s="797">
        <f>COUNTIFS('RC and FUNDS FOR YOU'!G15:G1613,"&gt;=45",'RC and FUNDS FOR YOU'!G15:G1613,"&lt;=64",'RC and FUNDS FOR YOU'!I15:I1613,"White / Caucasian ",'RC and FUNDS FOR YOU'!H15:H1613,"Female")</f>
        <v>0</v>
      </c>
      <c r="AO35" s="798"/>
      <c r="AP35" s="795">
        <f>COUNTIFS('RC and FUNDS FOR YOU'!G15:G1613,"&gt;=45",'RC and FUNDS FOR YOU'!G15:G1613,"&lt;=64",'RC and FUNDS FOR YOU'!I15:I1613,"African American /Black",'RC and FUNDS FOR YOU'!H15:H1613,"Male")</f>
        <v>0</v>
      </c>
      <c r="AQ35" s="796"/>
      <c r="AR35" s="797">
        <f>COUNTIFS('RC and FUNDS FOR YOU'!G15:G1613,"&gt;=45",'RC and FUNDS FOR YOU'!G15:G1613,"&lt;=64",'RC and FUNDS FOR YOU'!I15:I1613,"African American /Black",'RC and FUNDS FOR YOU'!H15:H1613,"Female")</f>
        <v>0</v>
      </c>
      <c r="AS35" s="798"/>
      <c r="AT35" s="795">
        <f>COUNTIFS('RC and FUNDS FOR YOU'!G15:G1613,"&gt;=45",'RC and FUNDS FOR YOU'!G15:G1613,"&lt;=64",'RC and FUNDS FOR YOU'!I15:I1613,"Native Hawaiian/Pacific Islander",'RC and FUNDS FOR YOU'!H15:H1613,"Male")</f>
        <v>0</v>
      </c>
      <c r="AU35" s="796"/>
      <c r="AV35" s="797">
        <f>COUNTIFS('RC and FUNDS FOR YOU'!G15:G1613,"&gt;=45",'RC and FUNDS FOR YOU'!G15:G1613,"&lt;=64",'RC and FUNDS FOR YOU'!I15:I1613,"Native Hawaiian/Pacific Islander",'RC and FUNDS FOR YOU'!H15:H1613,"Female")</f>
        <v>0</v>
      </c>
      <c r="AW35" s="798"/>
      <c r="AX35" s="795">
        <f>COUNTIFS('RC and FUNDS FOR YOU'!G15:G1613,"&gt;=45",'RC and FUNDS FOR YOU'!G15:G1613,"&lt;=64",'RC and FUNDS FOR YOU'!I15:I1613,"Asian",'RC and FUNDS FOR YOU'!H15:H1613,"Male")</f>
        <v>0</v>
      </c>
      <c r="AY35" s="796"/>
      <c r="AZ35" s="797">
        <f>COUNTIFS('RC and FUNDS FOR YOU'!G15:G1613,"&gt;=45",'RC and FUNDS FOR YOU'!G15:G1613,"&lt;=64",'RC and FUNDS FOR YOU'!I15:I1613,"Asian",'RC and FUNDS FOR YOU'!H15:H1613,"Female")</f>
        <v>0</v>
      </c>
      <c r="BA35" s="798"/>
      <c r="BB35" s="795">
        <f>COUNTIFS('RC and FUNDS FOR YOU'!G15:G1613,"&gt;=45",'RC and FUNDS FOR YOU'!G15:G1613,"&lt;=64",'RC and FUNDS FOR YOU'!I15:I1613,"American Indian  / Alaska Native",'RC and FUNDS FOR YOU'!H15:H1613,"Male")</f>
        <v>0</v>
      </c>
      <c r="BC35" s="796"/>
      <c r="BD35" s="797">
        <f>COUNTIFS('RC and FUNDS FOR YOU'!G15:G1613,"&gt;=45",'RC and FUNDS FOR YOU'!G15:G1613,"&lt;=64",'RC and FUNDS FOR YOU'!I15:I1613,"American Indian  / Alaska Native",'RC and FUNDS FOR YOU'!H15:H1613,"Female")</f>
        <v>0</v>
      </c>
      <c r="BE35" s="798"/>
      <c r="BF35" s="795">
        <f>COUNTIFS('RC and FUNDS FOR YOU'!G15:G1613,"&gt;=45",'RC and FUNDS FOR YOU'!G15:G1613,"&lt;=64",'RC and FUNDS FOR YOU'!I15:I1613,"More than one race reported",'RC and FUNDS FOR YOU'!H15:H1613,"Male")</f>
        <v>0</v>
      </c>
      <c r="BG35" s="796"/>
      <c r="BH35" s="797">
        <f>COUNTIFS('RC and FUNDS FOR YOU'!G15:G1613,"&gt;=45",'RC and FUNDS FOR YOU'!G15:G1613,"&lt;=64",'RC and FUNDS FOR YOU'!I15:I1613,"More than one race reported",'RC and FUNDS FOR YOU'!H15:H1613,"Female")</f>
        <v>0</v>
      </c>
      <c r="BI35" s="798"/>
      <c r="BJ35" s="795">
        <f>COUNTIFS('RC and FUNDS FOR YOU'!G15:G1613,"&gt;=45",'RC and FUNDS FOR YOU'!G15:G1613,"&lt;=64",'RC and FUNDS FOR YOU'!I15:I1613,"Unknown",'RC and FUNDS FOR YOU'!H15:H1613,"Male")</f>
        <v>0</v>
      </c>
      <c r="BK35" s="796"/>
      <c r="BL35" s="797">
        <f>COUNTIFS('RC and FUNDS FOR YOU'!G15:G1613,"&gt;=45",'RC and FUNDS FOR YOU'!G15:G1613,"&lt;=64",'RC and FUNDS FOR YOU'!I15:I1613,"Unknown",'RC and FUNDS FOR YOU'!H15:H1613,"Female")</f>
        <v>0</v>
      </c>
      <c r="BM35" s="798"/>
      <c r="BN35" s="800">
        <f t="shared" si="6"/>
        <v>0</v>
      </c>
      <c r="BO35" s="801"/>
      <c r="BP35" s="800">
        <f t="shared" si="7"/>
        <v>0</v>
      </c>
      <c r="BQ35" s="801"/>
      <c r="BR35" s="375" t="s">
        <v>795</v>
      </c>
      <c r="BS35" s="702">
        <f>COUNTIFS('RC and FUNDS FOR YOU'!G15:G1613,"&gt;=45",'RC and FUNDS FOR YOU'!G15:G1613,"&lt;=64",'RC and FUNDS FOR YOU'!J15:J1613,"Not Hispanic or Latino",'RC and FUNDS FOR YOU'!H15:H1613,"Male")</f>
        <v>0</v>
      </c>
      <c r="BT35" s="703"/>
      <c r="BU35" s="700">
        <f>COUNTIFS('RC and FUNDS FOR YOU'!G15:G1613,"&gt;=45",'RC and FUNDS FOR YOU'!G15:G1613,"&lt;=64",'RC and FUNDS FOR YOU'!J15:J1613,"Not Hispanic or Latino",'RC and FUNDS FOR YOU'!H15:H1613,"Female")</f>
        <v>0</v>
      </c>
      <c r="BV35" s="701"/>
      <c r="BW35" s="702">
        <f>COUNTIFS('RC and FUNDS FOR YOU'!G15:G1613,"&gt;=45",'RC and FUNDS FOR YOU'!G15:G1613,"&lt;=64",'RC and FUNDS FOR YOU'!J15:J1613,"Hispanic-Latino ",'RC and FUNDS FOR YOU'!H15:H1613,"Male")</f>
        <v>0</v>
      </c>
      <c r="BX35" s="703"/>
      <c r="BY35" s="700">
        <f>COUNTIFS('RC and FUNDS FOR YOU'!G15:G1613,"&gt;=45",'RC and FUNDS FOR YOU'!G15:G1613,"&lt;=64",'RC and FUNDS FOR YOU'!J15:J1613,"Hispanic-Latino ",'RC and FUNDS FOR YOU'!H15:H1613,"Female")</f>
        <v>0</v>
      </c>
      <c r="BZ35" s="701"/>
      <c r="CA35" s="702">
        <f>COUNTIFS('RC and FUNDS FOR YOU'!G15:G1613,"&gt;=45",'RC and FUNDS FOR YOU'!G15:G1613,"&lt;=64",'RC and FUNDS FOR YOU'!J15:J1613,"Unknown",'RC and FUNDS FOR YOU'!H15:H1613,"Male")</f>
        <v>0</v>
      </c>
      <c r="CB35" s="703"/>
      <c r="CC35" s="700">
        <f>COUNTIFS('RC and FUNDS FOR YOU'!G15:G1613,"&gt;=45",'RC and FUNDS FOR YOU'!G15:G1613,"&lt;=64",'RC and FUNDS FOR YOU'!J15:J1613,"Unknown",'RC and FUNDS FOR YOU'!H15:H1613,"Female")</f>
        <v>0</v>
      </c>
      <c r="CD35" s="701"/>
      <c r="CE35" s="704">
        <f t="shared" si="8"/>
        <v>0</v>
      </c>
      <c r="CF35" s="705"/>
      <c r="CG35" s="704">
        <f t="shared" si="9"/>
        <v>0</v>
      </c>
      <c r="CH35" s="705"/>
    </row>
    <row r="36" spans="1:100" ht="20.100000000000001" customHeight="1" x14ac:dyDescent="0.25">
      <c r="A36" s="19">
        <f t="shared" si="4"/>
        <v>8</v>
      </c>
      <c r="B36" s="738" t="s">
        <v>402</v>
      </c>
      <c r="C36" s="738"/>
      <c r="D36" s="738"/>
      <c r="E36" s="738"/>
      <c r="F36" s="738"/>
      <c r="G36" s="753">
        <f>COUNTIFS('RC and FUNDS FOR YOU'!F15:F4691,"Calhoun")</f>
        <v>0</v>
      </c>
      <c r="H36" s="753"/>
      <c r="I36" s="753"/>
      <c r="J36" s="753"/>
      <c r="K36" s="753"/>
      <c r="L36" s="753"/>
      <c r="M36" s="19">
        <f t="shared" si="5"/>
        <v>52</v>
      </c>
      <c r="N36" s="739" t="s">
        <v>403</v>
      </c>
      <c r="O36" s="739"/>
      <c r="P36" s="739"/>
      <c r="Q36" s="739"/>
      <c r="R36" s="739"/>
      <c r="S36" s="753">
        <f>COUNTIFS('RC and FUNDS FOR YOU'!F15:F4691,"Ohio")</f>
        <v>0</v>
      </c>
      <c r="T36" s="753"/>
      <c r="U36" s="753"/>
      <c r="V36" s="753"/>
      <c r="W36" s="753"/>
      <c r="X36" s="753"/>
      <c r="Y36" s="15"/>
      <c r="Z36" s="15"/>
      <c r="AB36" s="799" t="s">
        <v>404</v>
      </c>
      <c r="AC36" s="799"/>
      <c r="AD36" s="799"/>
      <c r="AE36" s="799"/>
      <c r="AF36" s="799"/>
      <c r="AG36" s="799"/>
      <c r="AH36" s="799"/>
      <c r="AI36" s="799"/>
      <c r="AJ36" s="799"/>
      <c r="AK36" s="799"/>
      <c r="AL36" s="795">
        <f>COUNTIFS('RC and FUNDS FOR YOU'!G15:G1613,"&gt;=65",'RC and FUNDS FOR YOU'!G15:G1613,"&lt;=74",'RC and FUNDS FOR YOU'!I15:I1613,"White / Caucasian ",'RC and FUNDS FOR YOU'!H15:H1613,"Male")</f>
        <v>0</v>
      </c>
      <c r="AM36" s="796"/>
      <c r="AN36" s="797">
        <f>COUNTIFS('RC and FUNDS FOR YOU'!G15:G1613,"&gt;=65",'RC and FUNDS FOR YOU'!G15:G1613,"&lt;=74",'RC and FUNDS FOR YOU'!I15:I1613,"White / Caucasian ",'RC and FUNDS FOR YOU'!H15:H1613,"Female")</f>
        <v>0</v>
      </c>
      <c r="AO36" s="798"/>
      <c r="AP36" s="795">
        <f>COUNTIFS('RC and FUNDS FOR YOU'!G15:G1613,"&gt;=65",'RC and FUNDS FOR YOU'!G15:G1613,"&lt;=74",'RC and FUNDS FOR YOU'!I15:I1613,"African American /Black",'RC and FUNDS FOR YOU'!H15:H1613,"Male")</f>
        <v>0</v>
      </c>
      <c r="AQ36" s="796"/>
      <c r="AR36" s="797">
        <f>COUNTIFS('RC and FUNDS FOR YOU'!G15:G1613,"&gt;=65",'RC and FUNDS FOR YOU'!G15:G1613,"&lt;=74",'RC and FUNDS FOR YOU'!I15:I1613,"African American /Black",'RC and FUNDS FOR YOU'!H15:H1613,"Female")</f>
        <v>0</v>
      </c>
      <c r="AS36" s="798"/>
      <c r="AT36" s="795">
        <f>COUNTIFS('RC and FUNDS FOR YOU'!G15:G1613,"&gt;=65",'RC and FUNDS FOR YOU'!G15:G1613,"&lt;=74",'RC and FUNDS FOR YOU'!I15:I1613,"Native Hawaiian/Pacific Islander",'RC and FUNDS FOR YOU'!H15:H1613,"Male")</f>
        <v>0</v>
      </c>
      <c r="AU36" s="796"/>
      <c r="AV36" s="797">
        <f>COUNTIFS('RC and FUNDS FOR YOU'!G15:G1613,"&gt;=65",'RC and FUNDS FOR YOU'!G15:G1613,"&lt;=74",'RC and FUNDS FOR YOU'!I15:I1613,"Native Hawaiian/Pacific Islander",'RC and FUNDS FOR YOU'!H15:H1613,"Female")</f>
        <v>0</v>
      </c>
      <c r="AW36" s="798"/>
      <c r="AX36" s="795">
        <f>COUNTIFS('RC and FUNDS FOR YOU'!G15:G1613,"&gt;=65",'RC and FUNDS FOR YOU'!G15:G1613,"&lt;=74",'RC and FUNDS FOR YOU'!I15:I1613,"Asian",'RC and FUNDS FOR YOU'!H15:H1613,"Male")</f>
        <v>0</v>
      </c>
      <c r="AY36" s="796"/>
      <c r="AZ36" s="797">
        <f>COUNTIFS('RC and FUNDS FOR YOU'!G15:G1613,"&gt;=65",'RC and FUNDS FOR YOU'!G15:G1613,"&lt;=74",'RC and FUNDS FOR YOU'!I15:I1613,"Asian",'RC and FUNDS FOR YOU'!H15:H1613,"Female")</f>
        <v>0</v>
      </c>
      <c r="BA36" s="798"/>
      <c r="BB36" s="795">
        <f>COUNTIFS('RC and FUNDS FOR YOU'!G15:G1613,"&gt;=65",'RC and FUNDS FOR YOU'!G15:G1613,"&lt;=74",'RC and FUNDS FOR YOU'!I15:I1613,"American Indian  / Alaska Native",'RC and FUNDS FOR YOU'!H15:H1613,"Male")</f>
        <v>0</v>
      </c>
      <c r="BC36" s="796"/>
      <c r="BD36" s="797">
        <f>COUNTIFS('RC and FUNDS FOR YOU'!G15:G1613,"&gt;=65",'RC and FUNDS FOR YOU'!G15:G1613,"&lt;=74",'RC and FUNDS FOR YOU'!I15:I1613,"American Indian  / Alaska Native",'RC and FUNDS FOR YOU'!H15:H1613,"Female")</f>
        <v>0</v>
      </c>
      <c r="BE36" s="798"/>
      <c r="BF36" s="795">
        <f>COUNTIFS('RC and FUNDS FOR YOU'!G15:G1613,"&gt;=65",'RC and FUNDS FOR YOU'!G15:G1613,"&lt;=74",'RC and FUNDS FOR YOU'!I15:I1613,"More than one race reported",'RC and FUNDS FOR YOU'!H15:H1613,"Male")</f>
        <v>0</v>
      </c>
      <c r="BG36" s="796"/>
      <c r="BH36" s="797">
        <f>COUNTIFS('RC and FUNDS FOR YOU'!G15:G1613,"&gt;=65",'RC and FUNDS FOR YOU'!G15:G1613,"&lt;=74",'RC and FUNDS FOR YOU'!I15:I1613,"More than one race reported",'RC and FUNDS FOR YOU'!H15:H1613,"Female")</f>
        <v>0</v>
      </c>
      <c r="BI36" s="798"/>
      <c r="BJ36" s="795">
        <f>COUNTIFS('RC and FUNDS FOR YOU'!G15:G1613,"&gt;=65",'RC and FUNDS FOR YOU'!G15:G1613,"&lt;=74",'RC and FUNDS FOR YOU'!I15:I1613,"Unknown",'RC and FUNDS FOR YOU'!H15:H1613,"Male")</f>
        <v>0</v>
      </c>
      <c r="BK36" s="796"/>
      <c r="BL36" s="797">
        <f>COUNTIFS('RC and FUNDS FOR YOU'!G15:G1613,"&gt;=65",'RC and FUNDS FOR YOU'!G15:G1613,"&lt;=74",'RC and FUNDS FOR YOU'!I15:I1613,"Unknown",'RC and FUNDS FOR YOU'!H15:H1613,"Female")</f>
        <v>0</v>
      </c>
      <c r="BM36" s="798"/>
      <c r="BN36" s="800">
        <f t="shared" si="6"/>
        <v>0</v>
      </c>
      <c r="BO36" s="801"/>
      <c r="BP36" s="800">
        <f t="shared" si="7"/>
        <v>0</v>
      </c>
      <c r="BQ36" s="801"/>
      <c r="BR36" s="375" t="s">
        <v>793</v>
      </c>
      <c r="BS36" s="702">
        <f>COUNTIFS('RC and FUNDS FOR YOU'!G15:G1612,"&gt;=65",'RC and FUNDS FOR YOU'!G15:G1612,"&lt;=74",'RC and FUNDS FOR YOU'!J15:J1612,"Not Hispanic or Latino",'RC and FUNDS FOR YOU'!H15:H1612,"Male")</f>
        <v>0</v>
      </c>
      <c r="BT36" s="703"/>
      <c r="BU36" s="700">
        <f>COUNTIFS('RC and FUNDS FOR YOU'!G15:G1612,"&gt;=65",'RC and FUNDS FOR YOU'!G15:G1612,"&lt;=74",'RC and FUNDS FOR YOU'!J15:J1612,"Not Hispanic or Latino",'RC and FUNDS FOR YOU'!H15:H1612,"Female")</f>
        <v>0</v>
      </c>
      <c r="BV36" s="701"/>
      <c r="BW36" s="702">
        <f>COUNTIFS('RC and FUNDS FOR YOU'!G15:G1613,"&gt;=65",'RC and FUNDS FOR YOU'!G15:G1613,"&lt;=74",'RC and FUNDS FOR YOU'!J15:J1613,"Hispanic-Latino ",'RC and FUNDS FOR YOU'!H15:H1613,"Male")</f>
        <v>0</v>
      </c>
      <c r="BX36" s="703"/>
      <c r="BY36" s="700">
        <f>COUNTIFS('RC and FUNDS FOR YOU'!G15:G1613,"&gt;=65",'RC and FUNDS FOR YOU'!G15:G1613,"&lt;=74",'RC and FUNDS FOR YOU'!J15:J1613,"Hispanic-Latino ",'RC and FUNDS FOR YOU'!H15:H1613,"Female")</f>
        <v>0</v>
      </c>
      <c r="BZ36" s="701"/>
      <c r="CA36" s="702">
        <f>COUNTIFS('RC and FUNDS FOR YOU'!G15:G1613,"&gt;=65",'RC and FUNDS FOR YOU'!G15:G1613,"&lt;=74",'RC and FUNDS FOR YOU'!J15:J1613,"Unknown",'RC and FUNDS FOR YOU'!H15:H1613,"Male")</f>
        <v>0</v>
      </c>
      <c r="CB36" s="703"/>
      <c r="CC36" s="700">
        <f>COUNTIFS('RC and FUNDS FOR YOU'!G15:G1613,"&gt;=65",'RC and FUNDS FOR YOU'!G15:G1613,"&lt;=74",'RC and FUNDS FOR YOU'!J15:J1613,"Unknown",'RC and FUNDS FOR YOU'!H15:H1613,"Female")</f>
        <v>0</v>
      </c>
      <c r="CD36" s="701"/>
      <c r="CE36" s="704">
        <f t="shared" si="8"/>
        <v>0</v>
      </c>
      <c r="CF36" s="705"/>
      <c r="CG36" s="704">
        <f t="shared" si="9"/>
        <v>0</v>
      </c>
      <c r="CH36" s="705"/>
    </row>
    <row r="37" spans="1:100" ht="20.100000000000001" customHeight="1" x14ac:dyDescent="0.25">
      <c r="A37" s="19" t="e">
        <f>ROW(#REF!)</f>
        <v>#REF!</v>
      </c>
      <c r="B37" s="738" t="s">
        <v>405</v>
      </c>
      <c r="C37" s="738"/>
      <c r="D37" s="738"/>
      <c r="E37" s="738"/>
      <c r="F37" s="738"/>
      <c r="G37" s="753">
        <f>COUNTIFS('RC and FUNDS FOR YOU'!F15:F4691,"Clay")</f>
        <v>0</v>
      </c>
      <c r="H37" s="753"/>
      <c r="I37" s="753"/>
      <c r="J37" s="753"/>
      <c r="K37" s="753"/>
      <c r="L37" s="753"/>
      <c r="M37" s="19">
        <f t="shared" si="5"/>
        <v>53</v>
      </c>
      <c r="N37" s="738" t="s">
        <v>406</v>
      </c>
      <c r="O37" s="738"/>
      <c r="P37" s="738"/>
      <c r="Q37" s="738"/>
      <c r="R37" s="738"/>
      <c r="S37" s="753">
        <f>COUNTIFS('RC and FUNDS FOR YOU'!F15:F4691,"Pendleton")</f>
        <v>0</v>
      </c>
      <c r="T37" s="753"/>
      <c r="U37" s="753"/>
      <c r="V37" s="753"/>
      <c r="W37" s="753"/>
      <c r="X37" s="753"/>
      <c r="Y37" s="15"/>
      <c r="Z37" s="15"/>
      <c r="AB37" s="799" t="s">
        <v>407</v>
      </c>
      <c r="AC37" s="799"/>
      <c r="AD37" s="799"/>
      <c r="AE37" s="799"/>
      <c r="AF37" s="799"/>
      <c r="AG37" s="799"/>
      <c r="AH37" s="799"/>
      <c r="AI37" s="799"/>
      <c r="AJ37" s="799"/>
      <c r="AK37" s="799"/>
      <c r="AL37" s="795">
        <f>COUNTIFS('RC and FUNDS FOR YOU'!G15:G1613,"&gt;=75",'RC and FUNDS FOR YOU'!G15:G1613,"&lt;=120",'RC and FUNDS FOR YOU'!I15:I1613,"White / Caucasian ",'RC and FUNDS FOR YOU'!H15:H1613,"Male")</f>
        <v>0</v>
      </c>
      <c r="AM37" s="796"/>
      <c r="AN37" s="797">
        <f>COUNTIFS('RC and FUNDS FOR YOU'!G15:G1613,"&gt;=75",'RC and FUNDS FOR YOU'!G15:G1613,"&lt;=120",'RC and FUNDS FOR YOU'!I15:I1613,"White / Caucasian ",'RC and FUNDS FOR YOU'!H15:H1613,"Female")</f>
        <v>0</v>
      </c>
      <c r="AO37" s="798"/>
      <c r="AP37" s="795">
        <f>COUNTIFS('RC and FUNDS FOR YOU'!G15:G1613,"&gt;=75",'RC and FUNDS FOR YOU'!G15:G1613,"&lt;=120",'RC and FUNDS FOR YOU'!I15:I1613,"African American /Black",'RC and FUNDS FOR YOU'!H15:H1613,"Male")</f>
        <v>0</v>
      </c>
      <c r="AQ37" s="796"/>
      <c r="AR37" s="797">
        <f>COUNTIFS('RC and FUNDS FOR YOU'!G15:G1613,"&gt;=75",'RC and FUNDS FOR YOU'!G15:G1613,"&lt;=120",'RC and FUNDS FOR YOU'!I15:I1613,"African American /Black",'RC and FUNDS FOR YOU'!H15:H1613,"Female")</f>
        <v>0</v>
      </c>
      <c r="AS37" s="798"/>
      <c r="AT37" s="795">
        <f>COUNTIFS('RC and FUNDS FOR YOU'!G15:G1613,"&gt;=75",'RC and FUNDS FOR YOU'!G15:G1613,"&lt;=120",'RC and FUNDS FOR YOU'!I15:I1613,"Native Hawaiian/Pacific Islander",'RC and FUNDS FOR YOU'!H15:H1613,"Male")</f>
        <v>0</v>
      </c>
      <c r="AU37" s="796"/>
      <c r="AV37" s="797">
        <f>COUNTIFS('RC and FUNDS FOR YOU'!G15:G1613,"&gt;=75",'RC and FUNDS FOR YOU'!G15:G1613,"&lt;=120",'RC and FUNDS FOR YOU'!I15:I1613,"Native Hawaiian/Pacific Islander",'RC and FUNDS FOR YOU'!H15:H1613,"Female")</f>
        <v>0</v>
      </c>
      <c r="AW37" s="798"/>
      <c r="AX37" s="795">
        <f>COUNTIFS('RC and FUNDS FOR YOU'!G15:G1613,"&gt;=75",'RC and FUNDS FOR YOU'!G15:G1613,"&lt;=120",'RC and FUNDS FOR YOU'!I15:I1613,"Asian",'RC and FUNDS FOR YOU'!H15:H1613,"Male")</f>
        <v>0</v>
      </c>
      <c r="AY37" s="796"/>
      <c r="AZ37" s="797">
        <f>COUNTIFS('RC and FUNDS FOR YOU'!G15:G1613,"&gt;=75",'RC and FUNDS FOR YOU'!G15:G1613,"&lt;=120",'RC and FUNDS FOR YOU'!I15:I1613,"Asian",'RC and FUNDS FOR YOU'!H15:H1613,"Female")</f>
        <v>0</v>
      </c>
      <c r="BA37" s="798"/>
      <c r="BB37" s="795">
        <f>COUNTIFS('RC and FUNDS FOR YOU'!G15:G1613,"&gt;=75",'RC and FUNDS FOR YOU'!G15:G1613,"&lt;=120",'RC and FUNDS FOR YOU'!I15:I1613,"American Indian  / Alaska Native",'RC and FUNDS FOR YOU'!H15:H1613,"Male")</f>
        <v>0</v>
      </c>
      <c r="BC37" s="796"/>
      <c r="BD37" s="797">
        <f>COUNTIFS('RC and FUNDS FOR YOU'!G15:G1613,"&gt;=75",'RC and FUNDS FOR YOU'!G15:G1613,"&lt;=120",'RC and FUNDS FOR YOU'!I15:I1613,"American Indian  / Alaska Native",'RC and FUNDS FOR YOU'!H15:H1613,"Female")</f>
        <v>0</v>
      </c>
      <c r="BE37" s="798"/>
      <c r="BF37" s="795">
        <f>COUNTIFS('RC and FUNDS FOR YOU'!G15:G1613,"&gt;=75",'RC and FUNDS FOR YOU'!G15:G1613,"&lt;=120",'RC and FUNDS FOR YOU'!I15:I1613,"More than one race reported",'RC and FUNDS FOR YOU'!H15:H1613,"Male")</f>
        <v>0</v>
      </c>
      <c r="BG37" s="796"/>
      <c r="BH37" s="797">
        <f>COUNTIFS('RC and FUNDS FOR YOU'!G15:G1613,"&gt;=75",'RC and FUNDS FOR YOU'!G15:G1613,"&lt;=120",'RC and FUNDS FOR YOU'!I15:I1613,"More than one race reported",'RC and FUNDS FOR YOU'!H15:H1613,"Female")</f>
        <v>0</v>
      </c>
      <c r="BI37" s="798"/>
      <c r="BJ37" s="795">
        <f>COUNTIFS('RC and FUNDS FOR YOU'!G15:G1613,"&gt;=75",'RC and FUNDS FOR YOU'!G15:G1613,"&lt;=120",'RC and FUNDS FOR YOU'!I15:I1613,"Unknown",'RC and FUNDS FOR YOU'!H15:H1613,"Male")</f>
        <v>0</v>
      </c>
      <c r="BK37" s="796"/>
      <c r="BL37" s="797">
        <f>COUNTIFS('RC and FUNDS FOR YOU'!G15:G1613,"&gt;=75",'RC and FUNDS FOR YOU'!G15:G1613,"&lt;=120",'RC and FUNDS FOR YOU'!I15:I1613,"Unknown",'RC and FUNDS FOR YOU'!H15:H1613,"Female")</f>
        <v>0</v>
      </c>
      <c r="BM37" s="798"/>
      <c r="BN37" s="800">
        <f t="shared" si="6"/>
        <v>0</v>
      </c>
      <c r="BO37" s="801"/>
      <c r="BP37" s="800">
        <f t="shared" si="7"/>
        <v>0</v>
      </c>
      <c r="BQ37" s="801"/>
      <c r="BR37" s="374" t="s">
        <v>794</v>
      </c>
      <c r="BS37" s="702">
        <f>COUNTIFS('RC and FUNDS FOR YOU'!G15:G1613,"&gt;=75",'RC and FUNDS FOR YOU'!G15:G1613,"&lt;=120",'RC and FUNDS FOR YOU'!J15:J1613,"Not Hispanic or Latino",'RC and FUNDS FOR YOU'!H15:H1613,"Male")</f>
        <v>0</v>
      </c>
      <c r="BT37" s="703"/>
      <c r="BU37" s="700">
        <f>COUNTIFS('RC and FUNDS FOR YOU'!G15:G1613,"&gt;=75",'RC and FUNDS FOR YOU'!G15:G1613,"&lt;=120",'RC and FUNDS FOR YOU'!J15:J1613,"Not Hispanic or Latino",'RC and FUNDS FOR YOU'!H15:H1613,"Female")</f>
        <v>0</v>
      </c>
      <c r="BV37" s="701"/>
      <c r="BW37" s="702">
        <f>COUNTIFS('RC and FUNDS FOR YOU'!G15:G1613,"&gt;=75",'RC and FUNDS FOR YOU'!G15:G1613,"&lt;=120",'RC and FUNDS FOR YOU'!J15:J1613,"Hispanic-Latino ",'RC and FUNDS FOR YOU'!H15:H1613,"Male")</f>
        <v>0</v>
      </c>
      <c r="BX37" s="703"/>
      <c r="BY37" s="700">
        <f>COUNTIFS('RC and FUNDS FOR YOU'!G15:G1613,"&gt;=75",'RC and FUNDS FOR YOU'!G15:G1613,"&lt;=120",'RC and FUNDS FOR YOU'!J15:J1613,"Hispanic-Latino ",'RC and FUNDS FOR YOU'!H15:H1613,"Female")</f>
        <v>0</v>
      </c>
      <c r="BZ37" s="701"/>
      <c r="CA37" s="702">
        <f>COUNTIFS('RC and FUNDS FOR YOU'!G15:G1613,"&gt;=75",'RC and FUNDS FOR YOU'!G15:G1613,"&lt;=120",'RC and FUNDS FOR YOU'!J15:J1613,"Unknown",'RC and FUNDS FOR YOU'!H15:H1613,"Male")</f>
        <v>0</v>
      </c>
      <c r="CB37" s="703"/>
      <c r="CC37" s="700">
        <f>COUNTIFS('RC and FUNDS FOR YOU'!G15:G1613,"&gt;=75",'RC and FUNDS FOR YOU'!G15:G1613,"&lt;=120",'RC and FUNDS FOR YOU'!J15:J1613,"Unknown",'RC and FUNDS FOR YOU'!H15:H1613,"Female")</f>
        <v>0</v>
      </c>
      <c r="CD37" s="701"/>
      <c r="CE37" s="704">
        <f t="shared" si="8"/>
        <v>0</v>
      </c>
      <c r="CF37" s="705"/>
      <c r="CG37" s="704">
        <f t="shared" si="9"/>
        <v>0</v>
      </c>
      <c r="CH37" s="705"/>
    </row>
    <row r="38" spans="1:100" ht="20.100000000000001" customHeight="1" x14ac:dyDescent="0.25">
      <c r="A38" s="19">
        <f>ROW(A9)</f>
        <v>9</v>
      </c>
      <c r="B38" s="738" t="s">
        <v>408</v>
      </c>
      <c r="C38" s="738"/>
      <c r="D38" s="738"/>
      <c r="E38" s="738"/>
      <c r="F38" s="738"/>
      <c r="G38" s="753">
        <f>COUNTIFS('RC and FUNDS FOR YOU'!F15:F4691,"Doddridge")</f>
        <v>0</v>
      </c>
      <c r="H38" s="753"/>
      <c r="I38" s="753"/>
      <c r="J38" s="753"/>
      <c r="K38" s="753"/>
      <c r="L38" s="753"/>
      <c r="M38" s="19">
        <f t="shared" si="5"/>
        <v>54</v>
      </c>
      <c r="N38" s="738" t="s">
        <v>409</v>
      </c>
      <c r="O38" s="738"/>
      <c r="P38" s="738"/>
      <c r="Q38" s="738"/>
      <c r="R38" s="738"/>
      <c r="S38" s="753">
        <f>COUNTIFS('RC and FUNDS FOR YOU'!F15:F4691,"Pleasants")</f>
        <v>0</v>
      </c>
      <c r="T38" s="753"/>
      <c r="U38" s="753"/>
      <c r="V38" s="753"/>
      <c r="W38" s="753"/>
      <c r="X38" s="753"/>
      <c r="Y38" s="15"/>
      <c r="Z38" s="15"/>
      <c r="AB38" s="757" t="s">
        <v>378</v>
      </c>
      <c r="AC38" s="757"/>
      <c r="AD38" s="757"/>
      <c r="AE38" s="757"/>
      <c r="AF38" s="757"/>
      <c r="AG38" s="757"/>
      <c r="AH38" s="757"/>
      <c r="AI38" s="757"/>
      <c r="AJ38" s="757"/>
      <c r="AK38" s="757"/>
      <c r="AL38" s="758">
        <f>SUM(AL30:AL37)</f>
        <v>0</v>
      </c>
      <c r="AM38" s="759"/>
      <c r="AN38" s="758">
        <f>SUM(AN30:AN37)</f>
        <v>0</v>
      </c>
      <c r="AO38" s="759"/>
      <c r="AP38" s="758">
        <f>SUM(AP30:AP37)</f>
        <v>0</v>
      </c>
      <c r="AQ38" s="759"/>
      <c r="AR38" s="758">
        <f>SUM(AR30:AR37)</f>
        <v>0</v>
      </c>
      <c r="AS38" s="759"/>
      <c r="AT38" s="758">
        <f>SUM(AT30:AT37)</f>
        <v>0</v>
      </c>
      <c r="AU38" s="759"/>
      <c r="AV38" s="758">
        <f>SUM(AV30:AV37)</f>
        <v>0</v>
      </c>
      <c r="AW38" s="759"/>
      <c r="AX38" s="758">
        <f>SUM(AX30:AX37)</f>
        <v>0</v>
      </c>
      <c r="AY38" s="759"/>
      <c r="AZ38" s="758">
        <f>SUM(AZ30:AZ37)</f>
        <v>0</v>
      </c>
      <c r="BA38" s="759"/>
      <c r="BB38" s="758">
        <f>SUM(BB30:BB37)</f>
        <v>0</v>
      </c>
      <c r="BC38" s="759"/>
      <c r="BD38" s="758">
        <f>SUM(BD30:BD37)</f>
        <v>0</v>
      </c>
      <c r="BE38" s="759"/>
      <c r="BF38" s="758">
        <f>SUM(BF30:BF37)</f>
        <v>0</v>
      </c>
      <c r="BG38" s="759"/>
      <c r="BH38" s="758">
        <f>SUM(BH30:BH37)</f>
        <v>0</v>
      </c>
      <c r="BI38" s="759"/>
      <c r="BJ38" s="758">
        <f>SUM(BJ30:BJ37)</f>
        <v>0</v>
      </c>
      <c r="BK38" s="759"/>
      <c r="BL38" s="758">
        <f>SUM(BL30:BL37)</f>
        <v>0</v>
      </c>
      <c r="BM38" s="759"/>
      <c r="BN38" s="758">
        <f>SUM(BN30:BN37)</f>
        <v>0</v>
      </c>
      <c r="BO38" s="759"/>
      <c r="BP38" s="758">
        <f>SUM(BP30:BP37)</f>
        <v>0</v>
      </c>
      <c r="BQ38" s="759"/>
      <c r="BR38" s="13"/>
      <c r="BS38" s="825">
        <f>SUM(BS30:BS37)</f>
        <v>0</v>
      </c>
      <c r="BT38" s="826"/>
      <c r="BU38" s="825">
        <f>SUM(BU30:BU37)</f>
        <v>0</v>
      </c>
      <c r="BV38" s="826"/>
      <c r="BW38" s="825">
        <f>SUM(BW30:BW37)</f>
        <v>0</v>
      </c>
      <c r="BX38" s="826"/>
      <c r="BY38" s="825">
        <f>SUM(BY30:BY37)</f>
        <v>0</v>
      </c>
      <c r="BZ38" s="826"/>
      <c r="CA38" s="825">
        <f>SUM(CA30:CA37)</f>
        <v>0</v>
      </c>
      <c r="CB38" s="826"/>
      <c r="CC38" s="825">
        <f>SUM(CC30:CC37)</f>
        <v>0</v>
      </c>
      <c r="CD38" s="826"/>
      <c r="CE38" s="747">
        <f t="shared" si="8"/>
        <v>0</v>
      </c>
      <c r="CF38" s="748"/>
      <c r="CG38" s="747">
        <f t="shared" si="9"/>
        <v>0</v>
      </c>
      <c r="CH38" s="748"/>
    </row>
    <row r="39" spans="1:100" ht="20.100000000000001" customHeight="1" x14ac:dyDescent="0.3">
      <c r="A39" s="19">
        <f t="shared" ref="A39:A57" si="10">ROW(A27)</f>
        <v>27</v>
      </c>
      <c r="B39" s="738" t="s">
        <v>410</v>
      </c>
      <c r="C39" s="738"/>
      <c r="D39" s="738"/>
      <c r="E39" s="738"/>
      <c r="F39" s="738"/>
      <c r="G39" s="753">
        <f>COUNTIFS('RC and FUNDS FOR YOU'!F15:F4691,"Fayette")</f>
        <v>0</v>
      </c>
      <c r="H39" s="753"/>
      <c r="I39" s="753"/>
      <c r="J39" s="753"/>
      <c r="K39" s="753"/>
      <c r="L39" s="753"/>
      <c r="M39" s="19">
        <f t="shared" si="5"/>
        <v>55</v>
      </c>
      <c r="N39" s="738" t="s">
        <v>411</v>
      </c>
      <c r="O39" s="738"/>
      <c r="P39" s="738"/>
      <c r="Q39" s="738"/>
      <c r="R39" s="738"/>
      <c r="S39" s="753">
        <f>COUNTIFS('RC and FUNDS FOR YOU'!F15:F4691,"Pocahontas")</f>
        <v>0</v>
      </c>
      <c r="T39" s="753"/>
      <c r="U39" s="753"/>
      <c r="V39" s="753"/>
      <c r="W39" s="753"/>
      <c r="X39" s="753"/>
      <c r="Y39" s="15"/>
      <c r="Z39" s="15"/>
      <c r="AB39" s="838" t="s">
        <v>412</v>
      </c>
      <c r="AC39" s="839"/>
      <c r="AD39" s="839"/>
      <c r="AE39" s="839"/>
      <c r="AF39" s="839"/>
      <c r="AG39" s="839"/>
      <c r="AH39" s="839"/>
      <c r="AI39" s="839"/>
      <c r="AJ39" s="839"/>
      <c r="AK39" s="839"/>
      <c r="AL39" s="839"/>
      <c r="AM39" s="839"/>
      <c r="AN39" s="839"/>
      <c r="AO39" s="839"/>
      <c r="AP39" s="839"/>
      <c r="AQ39" s="839"/>
      <c r="AR39" s="839"/>
      <c r="AS39" s="839"/>
      <c r="AT39" s="839"/>
      <c r="AU39" s="839"/>
      <c r="AV39" s="839"/>
      <c r="AW39" s="839"/>
      <c r="AX39" s="839"/>
      <c r="AY39" s="839"/>
      <c r="AZ39" s="839"/>
      <c r="BA39" s="839"/>
      <c r="BB39" s="839"/>
      <c r="BC39" s="839"/>
      <c r="BD39" s="839"/>
      <c r="BE39" s="839"/>
      <c r="BF39" s="839"/>
      <c r="BG39" s="839"/>
      <c r="BH39" s="839"/>
      <c r="BI39" s="839"/>
      <c r="BJ39" s="839"/>
      <c r="BK39" s="839"/>
      <c r="BL39" s="839"/>
      <c r="BM39" s="840"/>
      <c r="BN39" s="994">
        <f>BN38+BP38</f>
        <v>0</v>
      </c>
      <c r="BO39" s="994"/>
      <c r="BP39" s="994"/>
      <c r="BQ39" s="994"/>
      <c r="BR39" s="13"/>
      <c r="BS39" s="993" t="s">
        <v>412</v>
      </c>
      <c r="BT39" s="993"/>
      <c r="BU39" s="993"/>
      <c r="BV39" s="993"/>
      <c r="BW39" s="993"/>
      <c r="BX39" s="993"/>
      <c r="BY39" s="993"/>
      <c r="BZ39" s="993"/>
      <c r="CA39" s="993"/>
      <c r="CB39" s="993"/>
      <c r="CC39" s="993"/>
      <c r="CD39" s="993"/>
      <c r="CE39" s="706">
        <f>CE38+CG38</f>
        <v>0</v>
      </c>
      <c r="CF39" s="706"/>
      <c r="CG39" s="706"/>
      <c r="CH39" s="706"/>
    </row>
    <row r="40" spans="1:100" ht="20.100000000000001" customHeight="1" x14ac:dyDescent="0.25">
      <c r="A40" s="19">
        <f t="shared" si="10"/>
        <v>28</v>
      </c>
      <c r="B40" s="738" t="s">
        <v>413</v>
      </c>
      <c r="C40" s="738"/>
      <c r="D40" s="738"/>
      <c r="E40" s="738"/>
      <c r="F40" s="738"/>
      <c r="G40" s="753">
        <f>COUNTIFS('RC and FUNDS FOR YOU'!F15:F4691,"Gilmer")</f>
        <v>0</v>
      </c>
      <c r="H40" s="753"/>
      <c r="I40" s="753"/>
      <c r="J40" s="753"/>
      <c r="K40" s="753"/>
      <c r="L40" s="753"/>
      <c r="M40" s="19">
        <f t="shared" si="5"/>
        <v>56</v>
      </c>
      <c r="N40" s="738" t="s">
        <v>414</v>
      </c>
      <c r="O40" s="738"/>
      <c r="P40" s="738"/>
      <c r="Q40" s="738"/>
      <c r="R40" s="738"/>
      <c r="S40" s="753">
        <f>COUNTIFS('RC and FUNDS FOR YOU'!F15:F4691,"Preston")</f>
        <v>0</v>
      </c>
      <c r="T40" s="753"/>
      <c r="U40" s="753"/>
      <c r="V40" s="753"/>
      <c r="W40" s="753"/>
      <c r="X40" s="753"/>
      <c r="Y40" s="15"/>
      <c r="Z40" s="15"/>
      <c r="AB40" s="37"/>
      <c r="AC40" s="37"/>
      <c r="AD40" s="37"/>
      <c r="AE40" s="37"/>
      <c r="AF40" s="37"/>
      <c r="AG40" s="37"/>
      <c r="AH40" s="37"/>
      <c r="AI40" s="37"/>
      <c r="AJ40" s="37"/>
      <c r="AK40" s="37"/>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S40" s="11"/>
      <c r="BT40" s="11"/>
      <c r="BU40" s="11"/>
      <c r="BV40" s="11"/>
      <c r="BW40" s="11"/>
      <c r="BX40" s="11"/>
      <c r="BY40" s="11"/>
      <c r="BZ40" s="11"/>
      <c r="CA40" s="11"/>
      <c r="CB40" s="11"/>
      <c r="CC40" s="11"/>
      <c r="CD40" s="11"/>
      <c r="CE40" s="11"/>
      <c r="CF40" s="11"/>
      <c r="CG40" s="11"/>
      <c r="CH40" s="11"/>
    </row>
    <row r="41" spans="1:100" ht="20.100000000000001" customHeight="1" x14ac:dyDescent="0.25">
      <c r="A41" s="19">
        <f t="shared" si="10"/>
        <v>29</v>
      </c>
      <c r="B41" s="738" t="s">
        <v>415</v>
      </c>
      <c r="C41" s="738"/>
      <c r="D41" s="738"/>
      <c r="E41" s="738"/>
      <c r="F41" s="738"/>
      <c r="G41" s="753">
        <f>COUNTIFS('RC and FUNDS FOR YOU'!F15:F4691,"Grant")</f>
        <v>0</v>
      </c>
      <c r="H41" s="753"/>
      <c r="I41" s="753"/>
      <c r="J41" s="753"/>
      <c r="K41" s="753"/>
      <c r="L41" s="753"/>
      <c r="M41" s="19">
        <f t="shared" si="5"/>
        <v>57</v>
      </c>
      <c r="N41" s="738" t="s">
        <v>416</v>
      </c>
      <c r="O41" s="738"/>
      <c r="P41" s="738"/>
      <c r="Q41" s="738"/>
      <c r="R41" s="738"/>
      <c r="S41" s="753">
        <f>COUNTIFS('RC and FUNDS FOR YOU'!F15:F4691,"Putnam")</f>
        <v>0</v>
      </c>
      <c r="T41" s="753"/>
      <c r="U41" s="753"/>
      <c r="V41" s="753"/>
      <c r="W41" s="753"/>
      <c r="X41" s="753"/>
      <c r="Y41" s="15"/>
      <c r="Z41" s="15"/>
      <c r="AB41" s="38"/>
      <c r="AC41" s="38"/>
      <c r="AD41" s="38"/>
      <c r="AE41" s="38"/>
      <c r="AF41" s="38"/>
      <c r="AG41" s="38"/>
      <c r="AH41" s="38"/>
      <c r="AI41" s="38"/>
      <c r="AJ41" s="38"/>
      <c r="AK41" s="38"/>
      <c r="AL41" s="39"/>
      <c r="AM41" s="39"/>
      <c r="AN41" s="39"/>
      <c r="AO41" s="39"/>
      <c r="AP41" s="39"/>
      <c r="AQ41" s="39"/>
      <c r="AR41" s="39"/>
      <c r="AS41" s="39"/>
      <c r="AT41" s="39"/>
      <c r="AU41" s="39"/>
      <c r="AV41" s="39"/>
      <c r="AW41" s="39"/>
      <c r="AX41" s="39"/>
      <c r="AY41" s="39"/>
      <c r="AZ41" s="39"/>
      <c r="BA41" s="39"/>
      <c r="BB41" s="39"/>
      <c r="BC41" s="39"/>
      <c r="BD41" s="61"/>
      <c r="BE41" s="61"/>
      <c r="BF41" s="61"/>
      <c r="BG41" s="61"/>
      <c r="BH41" s="61"/>
      <c r="BI41" s="61"/>
      <c r="BJ41" s="61"/>
      <c r="BK41" s="61"/>
      <c r="BL41" s="61"/>
      <c r="BM41" s="61"/>
      <c r="BN41" s="61"/>
      <c r="BO41" s="61"/>
      <c r="BP41" s="61"/>
      <c r="BQ41" s="61"/>
      <c r="BR41" s="61"/>
      <c r="BS41" s="61"/>
      <c r="BT41" s="61"/>
      <c r="BU41" s="61"/>
      <c r="BV41" s="61"/>
      <c r="BW41" s="61"/>
      <c r="BX41" s="62"/>
      <c r="BY41" s="62"/>
      <c r="BZ41" s="62"/>
      <c r="CA41" s="62"/>
      <c r="CB41" s="62"/>
      <c r="CC41" s="62"/>
      <c r="CD41" s="39"/>
      <c r="CE41" s="39"/>
      <c r="CF41" s="39"/>
      <c r="CG41" s="39"/>
      <c r="CH41" s="39"/>
    </row>
    <row r="42" spans="1:100" ht="20.100000000000001" customHeight="1" x14ac:dyDescent="0.25">
      <c r="A42" s="19">
        <f t="shared" si="10"/>
        <v>30</v>
      </c>
      <c r="B42" s="738" t="s">
        <v>418</v>
      </c>
      <c r="C42" s="738"/>
      <c r="D42" s="738"/>
      <c r="E42" s="738"/>
      <c r="F42" s="738"/>
      <c r="G42" s="753">
        <f>COUNTIFS('RC and FUNDS FOR YOU'!F15:F4691,"Greenbrier")</f>
        <v>0</v>
      </c>
      <c r="H42" s="753"/>
      <c r="I42" s="753"/>
      <c r="J42" s="753"/>
      <c r="K42" s="753"/>
      <c r="L42" s="753"/>
      <c r="M42" s="19">
        <f t="shared" si="5"/>
        <v>58</v>
      </c>
      <c r="N42" s="738" t="s">
        <v>419</v>
      </c>
      <c r="O42" s="738"/>
      <c r="P42" s="738"/>
      <c r="Q42" s="738"/>
      <c r="R42" s="738"/>
      <c r="S42" s="753">
        <f>COUNTIFS('RC and FUNDS FOR YOU'!F15:F4691,"Raleigh")</f>
        <v>0</v>
      </c>
      <c r="T42" s="753"/>
      <c r="U42" s="753"/>
      <c r="V42" s="753"/>
      <c r="W42" s="753"/>
      <c r="X42" s="753"/>
      <c r="Y42" s="15"/>
      <c r="Z42" s="15"/>
      <c r="AB42" s="38"/>
      <c r="AC42" s="38"/>
      <c r="AD42" s="38"/>
      <c r="AE42" s="38"/>
      <c r="AF42" s="38"/>
      <c r="AG42" s="38"/>
      <c r="AH42" s="38"/>
      <c r="AI42" s="38"/>
      <c r="AJ42" s="38"/>
      <c r="AK42" s="38"/>
      <c r="AL42" s="39"/>
      <c r="AM42" s="39"/>
      <c r="AN42" s="39"/>
      <c r="AO42" s="39"/>
      <c r="AP42" s="39"/>
      <c r="AQ42" s="39"/>
      <c r="AR42" s="39"/>
      <c r="AS42" s="39"/>
      <c r="AT42" s="39"/>
      <c r="AU42" s="39"/>
      <c r="AV42" s="39"/>
      <c r="AW42" s="39"/>
      <c r="AX42" s="39"/>
      <c r="AY42" s="39"/>
      <c r="AZ42" s="39"/>
      <c r="BA42" s="39"/>
      <c r="BB42" s="39"/>
      <c r="BC42" s="39"/>
      <c r="BD42" s="61"/>
      <c r="BE42" s="61"/>
      <c r="BF42" s="61"/>
      <c r="BG42" s="61"/>
      <c r="BH42" s="61"/>
      <c r="BI42" s="61"/>
      <c r="BJ42" s="61"/>
      <c r="BK42" s="61"/>
      <c r="BL42" s="61"/>
      <c r="BM42" s="61"/>
      <c r="BN42" s="61"/>
      <c r="BO42" s="61"/>
      <c r="BP42" s="61"/>
      <c r="BQ42" s="61"/>
      <c r="BR42" s="61"/>
      <c r="BS42" s="61"/>
      <c r="BT42" s="61"/>
      <c r="BU42" s="61"/>
      <c r="BV42" s="61"/>
      <c r="BW42" s="61"/>
      <c r="BX42" s="62"/>
      <c r="BY42" s="62"/>
      <c r="BZ42" s="62"/>
      <c r="CA42" s="62"/>
      <c r="CB42" s="62"/>
      <c r="CC42" s="62"/>
      <c r="CD42" s="39"/>
      <c r="CE42" s="39"/>
      <c r="CF42" s="39"/>
      <c r="CG42" s="39"/>
      <c r="CH42" s="39"/>
    </row>
    <row r="43" spans="1:100" ht="20.100000000000001" customHeight="1" x14ac:dyDescent="0.25">
      <c r="A43" s="19">
        <f t="shared" si="10"/>
        <v>31</v>
      </c>
      <c r="B43" s="738" t="s">
        <v>420</v>
      </c>
      <c r="C43" s="738"/>
      <c r="D43" s="738"/>
      <c r="E43" s="738"/>
      <c r="F43" s="738"/>
      <c r="G43" s="753">
        <f>COUNTIFS('RC and FUNDS FOR YOU'!F15:F4691,"Hampshire")</f>
        <v>0</v>
      </c>
      <c r="H43" s="753"/>
      <c r="I43" s="753"/>
      <c r="J43" s="753"/>
      <c r="K43" s="753"/>
      <c r="L43" s="753"/>
      <c r="M43" s="19">
        <f t="shared" si="5"/>
        <v>59</v>
      </c>
      <c r="N43" s="738" t="s">
        <v>421</v>
      </c>
      <c r="O43" s="738"/>
      <c r="P43" s="738"/>
      <c r="Q43" s="738"/>
      <c r="R43" s="738"/>
      <c r="S43" s="753">
        <f>COUNTIFS('RC and FUNDS FOR YOU'!F15:F4691,"Randolph")</f>
        <v>0</v>
      </c>
      <c r="T43" s="753"/>
      <c r="U43" s="753"/>
      <c r="V43" s="753"/>
      <c r="W43" s="753"/>
      <c r="X43" s="753"/>
      <c r="Y43" s="15"/>
      <c r="Z43" s="15"/>
      <c r="AB43" s="978" t="s">
        <v>367</v>
      </c>
      <c r="AC43" s="978"/>
      <c r="AD43" s="978"/>
      <c r="AE43" s="978"/>
      <c r="AF43" s="978"/>
      <c r="AG43" s="978"/>
      <c r="AH43" s="978"/>
      <c r="AI43" s="978"/>
      <c r="AJ43" s="978"/>
      <c r="AK43" s="978"/>
      <c r="AL43" s="978"/>
      <c r="AM43" s="978"/>
      <c r="AN43" s="978"/>
      <c r="AO43" s="978"/>
      <c r="AP43" s="978"/>
      <c r="AQ43" s="978"/>
      <c r="AR43" s="978"/>
      <c r="AS43" s="978"/>
      <c r="AT43" s="978"/>
      <c r="AU43" s="978"/>
      <c r="AV43" s="978"/>
      <c r="AW43" s="978"/>
      <c r="AX43" s="978"/>
      <c r="AY43" s="978"/>
      <c r="AZ43" s="978"/>
      <c r="BA43" s="978"/>
      <c r="BB43" s="39"/>
      <c r="BC43" s="39"/>
      <c r="BD43" s="47"/>
      <c r="BE43" s="47"/>
      <c r="BF43" s="47"/>
      <c r="BG43" s="47"/>
      <c r="BH43" s="47"/>
      <c r="BI43" s="47"/>
      <c r="BJ43" s="47"/>
      <c r="BK43" s="47"/>
      <c r="BL43" s="47"/>
      <c r="BM43" s="47"/>
      <c r="BN43" s="47"/>
      <c r="BO43" s="47"/>
      <c r="BP43" s="47"/>
      <c r="BQ43" s="47"/>
      <c r="BR43" s="47"/>
      <c r="BS43" s="47"/>
      <c r="BT43" s="47"/>
      <c r="BU43" s="47"/>
      <c r="BV43" s="47"/>
      <c r="BW43" s="47"/>
      <c r="BX43" s="62"/>
      <c r="BY43" s="62"/>
      <c r="BZ43" s="62"/>
      <c r="CA43" s="62"/>
      <c r="CB43" s="62"/>
      <c r="CC43" s="62"/>
      <c r="CD43" s="39"/>
      <c r="CE43" s="39"/>
      <c r="CF43" s="39"/>
      <c r="CG43" s="39"/>
      <c r="CH43" s="39"/>
    </row>
    <row r="44" spans="1:100" ht="20.100000000000001" customHeight="1" x14ac:dyDescent="0.3">
      <c r="A44" s="19">
        <f t="shared" si="10"/>
        <v>32</v>
      </c>
      <c r="B44" s="739" t="s">
        <v>422</v>
      </c>
      <c r="C44" s="739"/>
      <c r="D44" s="739"/>
      <c r="E44" s="739"/>
      <c r="F44" s="739"/>
      <c r="G44" s="753">
        <f>COUNTIFS('RC and FUNDS FOR YOU'!F15:F4691,"Hancock")</f>
        <v>0</v>
      </c>
      <c r="H44" s="753"/>
      <c r="I44" s="753"/>
      <c r="J44" s="753"/>
      <c r="K44" s="753"/>
      <c r="L44" s="753"/>
      <c r="M44" s="19">
        <f t="shared" si="5"/>
        <v>60</v>
      </c>
      <c r="N44" s="738" t="s">
        <v>423</v>
      </c>
      <c r="O44" s="738"/>
      <c r="P44" s="738"/>
      <c r="Q44" s="738"/>
      <c r="R44" s="738"/>
      <c r="S44" s="753">
        <f>COUNTIFS('RC and FUNDS FOR YOU'!F15:F4691,"Ritchie")</f>
        <v>0</v>
      </c>
      <c r="T44" s="753"/>
      <c r="U44" s="753"/>
      <c r="V44" s="753"/>
      <c r="W44" s="753"/>
      <c r="X44" s="753"/>
      <c r="Y44" s="15"/>
      <c r="Z44" s="15"/>
      <c r="AB44" s="1024" t="s">
        <v>424</v>
      </c>
      <c r="AC44" s="1025"/>
      <c r="AD44" s="1025"/>
      <c r="AE44" s="1025"/>
      <c r="AF44" s="1025"/>
      <c r="AG44" s="1025"/>
      <c r="AH44" s="1025"/>
      <c r="AI44" s="1025"/>
      <c r="AJ44" s="1025"/>
      <c r="AK44" s="1025"/>
      <c r="AL44" s="1025"/>
      <c r="AM44" s="1025"/>
      <c r="AN44" s="1025"/>
      <c r="AO44" s="1025"/>
      <c r="AP44" s="1025"/>
      <c r="AQ44" s="1025"/>
      <c r="AR44" s="1025"/>
      <c r="AS44" s="1025"/>
      <c r="AT44" s="1025"/>
      <c r="AU44" s="1026"/>
      <c r="AV44" s="1027">
        <f>COUNTIFS('RC and FUNDS FOR YOU'!L15:L1696,"Yes")</f>
        <v>0</v>
      </c>
      <c r="AW44" s="1028"/>
      <c r="AX44" s="1028"/>
      <c r="AY44" s="1028"/>
      <c r="AZ44" s="1028"/>
      <c r="BA44" s="1029"/>
      <c r="BB44" s="39"/>
      <c r="BC44" s="39"/>
      <c r="BD44" s="61"/>
      <c r="BE44" s="61"/>
      <c r="BF44" s="61"/>
      <c r="BG44" s="61"/>
      <c r="BH44" s="61"/>
      <c r="BI44" s="61"/>
      <c r="BJ44" s="61"/>
      <c r="BK44" s="61"/>
      <c r="BL44" s="61"/>
      <c r="BM44" s="61"/>
      <c r="BN44" s="61"/>
      <c r="BO44" s="61"/>
      <c r="BP44" s="61"/>
      <c r="BQ44" s="61"/>
      <c r="BR44" s="61"/>
      <c r="BS44" s="61"/>
      <c r="BT44" s="61"/>
      <c r="BU44" s="61"/>
      <c r="BV44" s="61"/>
      <c r="BW44" s="61"/>
      <c r="BX44" s="62"/>
      <c r="BY44" s="62"/>
      <c r="BZ44" s="62"/>
      <c r="CA44" s="62"/>
      <c r="CB44" s="62"/>
      <c r="CC44" s="62"/>
      <c r="CD44" s="39"/>
      <c r="CE44" s="39"/>
      <c r="CF44" s="39"/>
      <c r="CG44" s="39"/>
      <c r="CH44" s="39"/>
    </row>
    <row r="45" spans="1:100" ht="20.100000000000001" customHeight="1" x14ac:dyDescent="0.25">
      <c r="A45" s="19">
        <f t="shared" si="10"/>
        <v>33</v>
      </c>
      <c r="B45" s="738" t="s">
        <v>425</v>
      </c>
      <c r="C45" s="738"/>
      <c r="D45" s="738"/>
      <c r="E45" s="738"/>
      <c r="F45" s="738"/>
      <c r="G45" s="753">
        <f>COUNTIFS('RC and FUNDS FOR YOU'!F15:F4691,"Hardy")</f>
        <v>0</v>
      </c>
      <c r="H45" s="753"/>
      <c r="I45" s="753"/>
      <c r="J45" s="753"/>
      <c r="K45" s="753"/>
      <c r="L45" s="753"/>
      <c r="M45" s="19">
        <f t="shared" si="5"/>
        <v>61</v>
      </c>
      <c r="N45" s="738" t="s">
        <v>426</v>
      </c>
      <c r="O45" s="738"/>
      <c r="P45" s="738"/>
      <c r="Q45" s="738"/>
      <c r="R45" s="738"/>
      <c r="S45" s="753">
        <f>COUNTIFS('RC and FUNDS FOR YOU'!F15:F4691,"Roane")</f>
        <v>0</v>
      </c>
      <c r="T45" s="753"/>
      <c r="U45" s="753"/>
      <c r="V45" s="753"/>
      <c r="W45" s="753"/>
      <c r="X45" s="753"/>
      <c r="Y45" s="15"/>
      <c r="Z45" s="15"/>
      <c r="AB45" s="40"/>
      <c r="AC45" s="40"/>
      <c r="AD45" s="40"/>
      <c r="AE45" s="40"/>
      <c r="AF45" s="40"/>
      <c r="AG45" s="40"/>
      <c r="AH45" s="40"/>
      <c r="AI45" s="40"/>
      <c r="AJ45" s="40"/>
      <c r="AK45" s="40"/>
      <c r="AL45" s="39"/>
      <c r="AM45" s="39"/>
      <c r="AN45" s="39"/>
      <c r="AO45" s="39"/>
      <c r="AP45" s="39"/>
      <c r="AQ45" s="39"/>
      <c r="AR45" s="39"/>
      <c r="AS45" s="39"/>
      <c r="AT45" s="39"/>
      <c r="AU45" s="39"/>
      <c r="AV45" s="39"/>
      <c r="AW45" s="39"/>
      <c r="AX45" s="39"/>
      <c r="AY45" s="39"/>
      <c r="AZ45" s="39"/>
      <c r="BA45" s="39"/>
      <c r="BB45" s="39"/>
      <c r="BC45" s="39"/>
      <c r="BD45" s="47"/>
      <c r="BE45" s="47"/>
    </row>
    <row r="46" spans="1:100" ht="20.100000000000001" customHeight="1" x14ac:dyDescent="0.25">
      <c r="A46" s="19">
        <f t="shared" si="10"/>
        <v>34</v>
      </c>
      <c r="B46" s="738" t="s">
        <v>427</v>
      </c>
      <c r="C46" s="738"/>
      <c r="D46" s="738"/>
      <c r="E46" s="738"/>
      <c r="F46" s="738"/>
      <c r="G46" s="753">
        <f>COUNTIFS('RC and FUNDS FOR YOU'!F15:F4691,"Harrison")</f>
        <v>0</v>
      </c>
      <c r="H46" s="753"/>
      <c r="I46" s="753"/>
      <c r="J46" s="753"/>
      <c r="K46" s="753"/>
      <c r="L46" s="753"/>
      <c r="M46" s="19">
        <f t="shared" si="5"/>
        <v>62</v>
      </c>
      <c r="N46" s="738" t="s">
        <v>428</v>
      </c>
      <c r="O46" s="738"/>
      <c r="P46" s="738"/>
      <c r="Q46" s="738"/>
      <c r="R46" s="738"/>
      <c r="S46" s="753">
        <f>COUNTIFS('RC and FUNDS FOR YOU'!F15:F4691,"Summers")</f>
        <v>0</v>
      </c>
      <c r="T46" s="753"/>
      <c r="U46" s="753"/>
      <c r="V46" s="753"/>
      <c r="W46" s="753"/>
      <c r="X46" s="753"/>
      <c r="Y46" s="15"/>
      <c r="Z46" s="15"/>
      <c r="AB46" s="978" t="s">
        <v>367</v>
      </c>
      <c r="AC46" s="978"/>
      <c r="AD46" s="978"/>
      <c r="AE46" s="978"/>
      <c r="AF46" s="978"/>
      <c r="AG46" s="978"/>
      <c r="AH46" s="978"/>
      <c r="AI46" s="978"/>
      <c r="AJ46" s="978"/>
      <c r="AK46" s="978"/>
      <c r="AL46" s="978"/>
      <c r="AM46" s="978"/>
      <c r="AN46" s="978"/>
      <c r="AO46" s="978"/>
      <c r="AP46" s="978"/>
      <c r="AQ46" s="978"/>
      <c r="AR46" s="978"/>
      <c r="AS46" s="978"/>
      <c r="AT46" s="978"/>
      <c r="AU46" s="978"/>
      <c r="AV46" s="978"/>
      <c r="AW46" s="978"/>
      <c r="AX46" s="978"/>
      <c r="AY46" s="978"/>
      <c r="AZ46" s="978"/>
      <c r="BA46" s="978"/>
      <c r="BD46" s="61"/>
      <c r="BE46" s="61"/>
      <c r="CI46" s="74"/>
      <c r="CJ46" s="74"/>
      <c r="CK46" s="74"/>
      <c r="CL46" s="74"/>
      <c r="CM46" s="74"/>
      <c r="CP46" s="58"/>
      <c r="CQ46" s="58"/>
      <c r="CR46" s="58"/>
      <c r="CS46" s="58"/>
      <c r="CT46" s="58"/>
      <c r="CU46" s="58"/>
      <c r="CV46" s="58"/>
    </row>
    <row r="47" spans="1:100" ht="20.100000000000001" customHeight="1" x14ac:dyDescent="0.25">
      <c r="A47" s="19">
        <f t="shared" si="10"/>
        <v>35</v>
      </c>
      <c r="B47" s="738" t="s">
        <v>429</v>
      </c>
      <c r="C47" s="738"/>
      <c r="D47" s="738"/>
      <c r="E47" s="738"/>
      <c r="F47" s="738"/>
      <c r="G47" s="753">
        <f>COUNTIFS('RC and FUNDS FOR YOU'!F15:F4691,"Jackson")</f>
        <v>0</v>
      </c>
      <c r="H47" s="753"/>
      <c r="I47" s="753"/>
      <c r="J47" s="753"/>
      <c r="K47" s="753"/>
      <c r="L47" s="753"/>
      <c r="M47" s="19">
        <f t="shared" si="5"/>
        <v>63</v>
      </c>
      <c r="N47" s="738" t="s">
        <v>430</v>
      </c>
      <c r="O47" s="738"/>
      <c r="P47" s="738"/>
      <c r="Q47" s="738"/>
      <c r="R47" s="738"/>
      <c r="S47" s="753">
        <f>COUNTIFS('RC and FUNDS FOR YOU'!F15:F4691,"Taylor")</f>
        <v>0</v>
      </c>
      <c r="T47" s="753"/>
      <c r="U47" s="753"/>
      <c r="V47" s="753"/>
      <c r="W47" s="753"/>
      <c r="X47" s="753"/>
      <c r="Y47" s="15"/>
      <c r="Z47" s="15"/>
      <c r="AB47" s="754" t="s">
        <v>431</v>
      </c>
      <c r="AC47" s="755"/>
      <c r="AD47" s="755"/>
      <c r="AE47" s="755"/>
      <c r="AF47" s="755"/>
      <c r="AG47" s="755"/>
      <c r="AH47" s="755"/>
      <c r="AI47" s="755"/>
      <c r="AJ47" s="755"/>
      <c r="AK47" s="755"/>
      <c r="AL47" s="755"/>
      <c r="AM47" s="755"/>
      <c r="AN47" s="755"/>
      <c r="AO47" s="755"/>
      <c r="AP47" s="755"/>
      <c r="AQ47" s="755"/>
      <c r="AR47" s="755"/>
      <c r="AS47" s="755"/>
      <c r="AT47" s="755"/>
      <c r="AU47" s="756"/>
      <c r="AV47" s="723">
        <f>COUNTIFS('RC and FUNDS FOR YOU'!O15:O1690,"Yes")</f>
        <v>0</v>
      </c>
      <c r="AW47" s="724"/>
      <c r="AX47" s="724"/>
      <c r="AY47" s="724"/>
      <c r="AZ47" s="724"/>
      <c r="BA47" s="725"/>
      <c r="CI47" s="73"/>
      <c r="CJ47" s="73"/>
      <c r="CK47" s="73"/>
      <c r="CL47" s="73"/>
      <c r="CM47" s="73"/>
      <c r="CP47" s="73"/>
      <c r="CQ47" s="73"/>
      <c r="CR47" s="73"/>
      <c r="CS47" s="73"/>
      <c r="CT47" s="73"/>
      <c r="CU47" s="73"/>
      <c r="CV47" s="73"/>
    </row>
    <row r="48" spans="1:100" ht="20.100000000000001" customHeight="1" x14ac:dyDescent="0.25">
      <c r="A48" s="19">
        <f t="shared" si="10"/>
        <v>36</v>
      </c>
      <c r="B48" s="738" t="s">
        <v>432</v>
      </c>
      <c r="C48" s="738"/>
      <c r="D48" s="738"/>
      <c r="E48" s="738"/>
      <c r="F48" s="738"/>
      <c r="G48" s="753">
        <f>COUNTIFS('RC and FUNDS FOR YOU'!F15:F4691,"Jefferson")</f>
        <v>0</v>
      </c>
      <c r="H48" s="753"/>
      <c r="I48" s="753"/>
      <c r="J48" s="753"/>
      <c r="K48" s="753"/>
      <c r="L48" s="753"/>
      <c r="M48" s="19">
        <f t="shared" si="5"/>
        <v>64</v>
      </c>
      <c r="N48" s="738" t="s">
        <v>433</v>
      </c>
      <c r="O48" s="738"/>
      <c r="P48" s="738"/>
      <c r="Q48" s="738"/>
      <c r="R48" s="738"/>
      <c r="S48" s="753">
        <f>COUNTIFS('RC and FUNDS FOR YOU'!F15:F4691,"Tucker")</f>
        <v>0</v>
      </c>
      <c r="T48" s="753"/>
      <c r="U48" s="753"/>
      <c r="V48" s="753"/>
      <c r="W48" s="753"/>
      <c r="X48" s="753"/>
      <c r="Y48" s="15"/>
      <c r="Z48" s="15"/>
      <c r="AB48" s="708" t="s">
        <v>434</v>
      </c>
      <c r="AC48" s="709"/>
      <c r="AD48" s="709"/>
      <c r="AE48" s="709"/>
      <c r="AF48" s="709"/>
      <c r="AG48" s="709"/>
      <c r="AH48" s="709"/>
      <c r="AI48" s="709"/>
      <c r="AJ48" s="709"/>
      <c r="AK48" s="709"/>
      <c r="AL48" s="709"/>
      <c r="AM48" s="709"/>
      <c r="AN48" s="709"/>
      <c r="AO48" s="709"/>
      <c r="AP48" s="709"/>
      <c r="AQ48" s="709"/>
      <c r="AR48" s="709"/>
      <c r="AS48" s="709"/>
      <c r="AT48" s="709"/>
      <c r="AU48" s="710"/>
      <c r="AV48" s="720">
        <f>COUNTIFS('RC and FUNDS FOR YOU'!P15:P1691,"Yes")</f>
        <v>4</v>
      </c>
      <c r="AW48" s="721"/>
      <c r="AX48" s="721"/>
      <c r="AY48" s="721"/>
      <c r="AZ48" s="721"/>
      <c r="BA48" s="722"/>
      <c r="CI48" s="73"/>
      <c r="CJ48" s="73"/>
      <c r="CK48" s="73"/>
      <c r="CL48" s="73"/>
      <c r="CM48" s="73"/>
      <c r="CP48" s="73"/>
      <c r="CQ48" s="73"/>
      <c r="CR48" s="73"/>
      <c r="CS48" s="73"/>
      <c r="CT48" s="73"/>
      <c r="CU48" s="73"/>
      <c r="CV48" s="73"/>
    </row>
    <row r="49" spans="1:100" ht="20.100000000000001" customHeight="1" x14ac:dyDescent="0.25">
      <c r="A49" s="19">
        <f t="shared" si="10"/>
        <v>37</v>
      </c>
      <c r="B49" s="738" t="s">
        <v>435</v>
      </c>
      <c r="C49" s="738"/>
      <c r="D49" s="738"/>
      <c r="E49" s="738"/>
      <c r="F49" s="738"/>
      <c r="G49" s="753">
        <f>COUNTIFS('RC and FUNDS FOR YOU'!F15:F4691,"Kanawha")</f>
        <v>0</v>
      </c>
      <c r="H49" s="753"/>
      <c r="I49" s="753"/>
      <c r="J49" s="753"/>
      <c r="K49" s="753"/>
      <c r="L49" s="753"/>
      <c r="M49" s="19">
        <f t="shared" si="5"/>
        <v>65</v>
      </c>
      <c r="N49" s="738" t="s">
        <v>436</v>
      </c>
      <c r="O49" s="738"/>
      <c r="P49" s="738"/>
      <c r="Q49" s="738"/>
      <c r="R49" s="738"/>
      <c r="S49" s="753">
        <f>COUNTIFS('RC and FUNDS FOR YOU'!F15:F4691,"Tyler")</f>
        <v>0</v>
      </c>
      <c r="T49" s="753"/>
      <c r="U49" s="753"/>
      <c r="V49" s="753"/>
      <c r="W49" s="753"/>
      <c r="X49" s="753"/>
      <c r="Y49" s="15"/>
      <c r="Z49" s="15"/>
      <c r="AB49" s="711" t="s">
        <v>437</v>
      </c>
      <c r="AC49" s="712"/>
      <c r="AD49" s="712"/>
      <c r="AE49" s="712"/>
      <c r="AF49" s="712"/>
      <c r="AG49" s="712"/>
      <c r="AH49" s="712"/>
      <c r="AI49" s="712"/>
      <c r="AJ49" s="712"/>
      <c r="AK49" s="712"/>
      <c r="AL49" s="712"/>
      <c r="AM49" s="712"/>
      <c r="AN49" s="712"/>
      <c r="AO49" s="712"/>
      <c r="AP49" s="712"/>
      <c r="AQ49" s="712"/>
      <c r="AR49" s="712"/>
      <c r="AS49" s="712"/>
      <c r="AT49" s="712"/>
      <c r="AU49" s="713"/>
      <c r="AV49" s="723">
        <f>COUNTIFS('RC and FUNDS FOR YOU'!Q15:Q1692,"Yes")</f>
        <v>1</v>
      </c>
      <c r="AW49" s="724"/>
      <c r="AX49" s="724"/>
      <c r="AY49" s="724"/>
      <c r="AZ49" s="724"/>
      <c r="BA49" s="725"/>
      <c r="BF49" s="953" t="s">
        <v>362</v>
      </c>
      <c r="BG49" s="953"/>
      <c r="BH49" s="953"/>
      <c r="BI49" s="953"/>
      <c r="BJ49" s="953"/>
      <c r="BK49" s="953"/>
      <c r="BL49" s="953"/>
      <c r="BM49" s="953"/>
      <c r="BN49" s="953"/>
      <c r="BO49" s="953"/>
      <c r="BP49" s="953"/>
      <c r="BQ49" s="953"/>
      <c r="BR49" s="953"/>
      <c r="BS49" s="953"/>
      <c r="BT49" s="953"/>
      <c r="BU49" s="953"/>
      <c r="BV49" s="953"/>
      <c r="BW49" s="953"/>
      <c r="BX49" s="953"/>
      <c r="BY49" s="950" t="s">
        <v>438</v>
      </c>
      <c r="BZ49" s="950"/>
      <c r="CA49" s="950"/>
      <c r="CB49" s="950"/>
      <c r="CC49" s="950"/>
      <c r="CD49" s="58"/>
      <c r="CE49" s="58"/>
      <c r="CF49" s="58"/>
      <c r="CG49" s="58"/>
      <c r="CH49" s="58"/>
      <c r="CI49" s="74"/>
      <c r="CJ49" s="74"/>
      <c r="CK49" s="74"/>
      <c r="CL49" s="74"/>
      <c r="CM49" s="74"/>
      <c r="CP49" s="73"/>
      <c r="CQ49" s="73"/>
      <c r="CR49" s="73"/>
      <c r="CS49" s="73"/>
      <c r="CT49" s="73"/>
      <c r="CU49" s="73"/>
      <c r="CV49" s="73"/>
    </row>
    <row r="50" spans="1:100" ht="20.100000000000001" customHeight="1" x14ac:dyDescent="0.25">
      <c r="A50" s="19">
        <f t="shared" si="10"/>
        <v>38</v>
      </c>
      <c r="B50" s="738" t="s">
        <v>439</v>
      </c>
      <c r="C50" s="738"/>
      <c r="D50" s="738"/>
      <c r="E50" s="738"/>
      <c r="F50" s="738"/>
      <c r="G50" s="753">
        <f>COUNTIFS('RC and FUNDS FOR YOU'!F15:F4691,"Lewis")</f>
        <v>0</v>
      </c>
      <c r="H50" s="753"/>
      <c r="I50" s="753"/>
      <c r="J50" s="753"/>
      <c r="K50" s="753"/>
      <c r="L50" s="753"/>
      <c r="M50" s="19">
        <f t="shared" si="5"/>
        <v>66</v>
      </c>
      <c r="N50" s="738" t="s">
        <v>440</v>
      </c>
      <c r="O50" s="738"/>
      <c r="P50" s="738"/>
      <c r="Q50" s="738"/>
      <c r="R50" s="738"/>
      <c r="S50" s="753">
        <f>COUNTIFS('RC and FUNDS FOR YOU'!F15:F4691,"Upshur")</f>
        <v>0</v>
      </c>
      <c r="T50" s="753"/>
      <c r="U50" s="753"/>
      <c r="V50" s="753"/>
      <c r="W50" s="753"/>
      <c r="X50" s="753"/>
      <c r="Y50" s="15"/>
      <c r="Z50" s="15"/>
      <c r="AB50" s="708" t="s">
        <v>441</v>
      </c>
      <c r="AC50" s="709"/>
      <c r="AD50" s="709"/>
      <c r="AE50" s="709"/>
      <c r="AF50" s="709"/>
      <c r="AG50" s="709"/>
      <c r="AH50" s="709"/>
      <c r="AI50" s="709"/>
      <c r="AJ50" s="709"/>
      <c r="AK50" s="709"/>
      <c r="AL50" s="709"/>
      <c r="AM50" s="709"/>
      <c r="AN50" s="709"/>
      <c r="AO50" s="709"/>
      <c r="AP50" s="709"/>
      <c r="AQ50" s="709"/>
      <c r="AR50" s="709"/>
      <c r="AS50" s="709"/>
      <c r="AT50" s="709"/>
      <c r="AU50" s="710"/>
      <c r="AV50" s="720">
        <f>COUNTIFS('RC and FUNDS FOR YOU'!R15:R1693,"Yes")</f>
        <v>4</v>
      </c>
      <c r="AW50" s="721"/>
      <c r="AX50" s="721"/>
      <c r="AY50" s="721"/>
      <c r="AZ50" s="721"/>
      <c r="BA50" s="722"/>
      <c r="BF50" s="841" t="s">
        <v>442</v>
      </c>
      <c r="BG50" s="842"/>
      <c r="BH50" s="842"/>
      <c r="BI50" s="842"/>
      <c r="BJ50" s="842"/>
      <c r="BK50" s="842"/>
      <c r="BL50" s="842"/>
      <c r="BM50" s="842"/>
      <c r="BN50" s="842"/>
      <c r="BO50" s="842"/>
      <c r="BP50" s="842"/>
      <c r="BQ50" s="842"/>
      <c r="BR50" s="842"/>
      <c r="BS50" s="842"/>
      <c r="BT50" s="842"/>
      <c r="BU50" s="842"/>
      <c r="BV50" s="842"/>
      <c r="BW50" s="842"/>
      <c r="BX50" s="843"/>
      <c r="BY50" s="974">
        <f>COUNTIFS('RC and FUNDS FOR YOU'!B15:B4897,"&gt;=07/01/2000",'RC and FUNDS FOR YOU'!B15:B4897,"&lt;=06/30/2025")</f>
        <v>0</v>
      </c>
      <c r="BZ50" s="975"/>
      <c r="CA50" s="975"/>
      <c r="CB50" s="975"/>
      <c r="CC50" s="976"/>
      <c r="CD50" s="58"/>
      <c r="CE50" s="58"/>
      <c r="CF50" s="58"/>
      <c r="CG50" s="58"/>
      <c r="CH50" s="58"/>
      <c r="CI50" s="74"/>
      <c r="CJ50" s="74"/>
      <c r="CK50" s="74"/>
      <c r="CL50" s="74"/>
      <c r="CM50" s="74"/>
      <c r="CP50" s="73"/>
      <c r="CQ50" s="73"/>
      <c r="CR50" s="73"/>
      <c r="CS50" s="73"/>
      <c r="CT50" s="73"/>
      <c r="CU50" s="73"/>
      <c r="CV50" s="73"/>
    </row>
    <row r="51" spans="1:100" ht="20.100000000000001" customHeight="1" x14ac:dyDescent="0.25">
      <c r="A51" s="19">
        <f t="shared" si="10"/>
        <v>39</v>
      </c>
      <c r="B51" s="738" t="s">
        <v>443</v>
      </c>
      <c r="C51" s="738"/>
      <c r="D51" s="738"/>
      <c r="E51" s="738"/>
      <c r="F51" s="738"/>
      <c r="G51" s="753">
        <f>COUNTIFS('RC and FUNDS FOR YOU'!F15:F4691,"Lincoln")</f>
        <v>0</v>
      </c>
      <c r="H51" s="753"/>
      <c r="I51" s="753"/>
      <c r="J51" s="753"/>
      <c r="K51" s="753"/>
      <c r="L51" s="753"/>
      <c r="M51" s="19">
        <f t="shared" si="5"/>
        <v>67</v>
      </c>
      <c r="N51" s="738" t="s">
        <v>444</v>
      </c>
      <c r="O51" s="738"/>
      <c r="P51" s="738"/>
      <c r="Q51" s="738"/>
      <c r="R51" s="738"/>
      <c r="S51" s="753">
        <f>COUNTIFS('RC and FUNDS FOR YOU'!F15:F4691,"Wayne")</f>
        <v>0</v>
      </c>
      <c r="T51" s="753"/>
      <c r="U51" s="753"/>
      <c r="V51" s="753"/>
      <c r="W51" s="753"/>
      <c r="X51" s="753"/>
      <c r="Y51" s="15"/>
      <c r="Z51" s="15"/>
      <c r="AB51" s="711" t="s">
        <v>445</v>
      </c>
      <c r="AC51" s="712"/>
      <c r="AD51" s="712"/>
      <c r="AE51" s="712"/>
      <c r="AF51" s="712"/>
      <c r="AG51" s="712"/>
      <c r="AH51" s="712"/>
      <c r="AI51" s="712"/>
      <c r="AJ51" s="712"/>
      <c r="AK51" s="712"/>
      <c r="AL51" s="712"/>
      <c r="AM51" s="712"/>
      <c r="AN51" s="712"/>
      <c r="AO51" s="712"/>
      <c r="AP51" s="712"/>
      <c r="AQ51" s="712"/>
      <c r="AR51" s="712"/>
      <c r="AS51" s="712"/>
      <c r="AT51" s="712"/>
      <c r="AU51" s="713"/>
      <c r="AV51" s="723">
        <f>COUNTIFS('RC and FUNDS FOR YOU'!S15:S1694,"Yes")</f>
        <v>19</v>
      </c>
      <c r="AW51" s="724"/>
      <c r="AX51" s="724"/>
      <c r="AY51" s="724"/>
      <c r="AZ51" s="724"/>
      <c r="BA51" s="725"/>
      <c r="BF51" s="954" t="s">
        <v>446</v>
      </c>
      <c r="BG51" s="955"/>
      <c r="BH51" s="955"/>
      <c r="BI51" s="955"/>
      <c r="BJ51" s="955"/>
      <c r="BK51" s="955"/>
      <c r="BL51" s="955"/>
      <c r="BM51" s="955"/>
      <c r="BN51" s="955"/>
      <c r="BO51" s="955"/>
      <c r="BP51" s="955"/>
      <c r="BQ51" s="955"/>
      <c r="BR51" s="955"/>
      <c r="BS51" s="955"/>
      <c r="BT51" s="955"/>
      <c r="BU51" s="955"/>
      <c r="BV51" s="955"/>
      <c r="BW51" s="955"/>
      <c r="BX51" s="956"/>
      <c r="BY51" s="957">
        <f>COUNTIFS('RC and FUNDS FOR YOU'!B15:B4897,"&gt;=07/01/2020",'RC and FUNDS FOR YOU'!B15:B4897,"&lt;=06/30/2025")</f>
        <v>0</v>
      </c>
      <c r="BZ51" s="958"/>
      <c r="CA51" s="958"/>
      <c r="CB51" s="958"/>
      <c r="CC51" s="959"/>
      <c r="CD51" s="73"/>
      <c r="CE51" s="73"/>
      <c r="CF51" s="73"/>
      <c r="CG51" s="73"/>
      <c r="CH51" s="73"/>
      <c r="CI51" s="73"/>
      <c r="CJ51" s="73"/>
      <c r="CK51" s="73"/>
      <c r="CL51" s="73"/>
      <c r="CM51" s="73"/>
      <c r="CN51" s="73"/>
      <c r="CO51" s="73"/>
      <c r="CP51" s="73"/>
      <c r="CQ51" s="73"/>
      <c r="CR51" s="73"/>
    </row>
    <row r="52" spans="1:100" ht="20.100000000000001" customHeight="1" x14ac:dyDescent="0.25">
      <c r="A52" s="19">
        <f t="shared" si="10"/>
        <v>40</v>
      </c>
      <c r="B52" s="738" t="s">
        <v>447</v>
      </c>
      <c r="C52" s="738"/>
      <c r="D52" s="738"/>
      <c r="E52" s="738"/>
      <c r="F52" s="738"/>
      <c r="G52" s="753">
        <f>COUNTIFS('RC and FUNDS FOR YOU'!F15:F4691,"Logan")</f>
        <v>0</v>
      </c>
      <c r="H52" s="753"/>
      <c r="I52" s="753"/>
      <c r="J52" s="753"/>
      <c r="K52" s="753"/>
      <c r="L52" s="753"/>
      <c r="M52" s="19">
        <f t="shared" si="5"/>
        <v>68</v>
      </c>
      <c r="N52" s="738" t="s">
        <v>448</v>
      </c>
      <c r="O52" s="738"/>
      <c r="P52" s="738"/>
      <c r="Q52" s="738"/>
      <c r="R52" s="738"/>
      <c r="S52" s="753">
        <f>COUNTIFS('RC and FUNDS FOR YOU'!F15:F4691,"Webster")</f>
        <v>0</v>
      </c>
      <c r="T52" s="753"/>
      <c r="U52" s="753"/>
      <c r="V52" s="753"/>
      <c r="W52" s="753"/>
      <c r="X52" s="753"/>
      <c r="Y52" s="15"/>
      <c r="Z52" s="15"/>
      <c r="AB52" s="708" t="s">
        <v>445</v>
      </c>
      <c r="AC52" s="709"/>
      <c r="AD52" s="709"/>
      <c r="AE52" s="709"/>
      <c r="AF52" s="709"/>
      <c r="AG52" s="709"/>
      <c r="AH52" s="709"/>
      <c r="AI52" s="709"/>
      <c r="AJ52" s="709"/>
      <c r="AK52" s="709"/>
      <c r="AL52" s="709"/>
      <c r="AM52" s="709"/>
      <c r="AN52" s="709"/>
      <c r="AO52" s="709"/>
      <c r="AP52" s="709"/>
      <c r="AQ52" s="709"/>
      <c r="AR52" s="709"/>
      <c r="AS52" s="709"/>
      <c r="AT52" s="709"/>
      <c r="AU52" s="710"/>
      <c r="AV52" s="720">
        <f>COUNTIFS('RC and FUNDS FOR YOU'!U15:U1695,"Yes")</f>
        <v>10</v>
      </c>
      <c r="AW52" s="721"/>
      <c r="AX52" s="721"/>
      <c r="AY52" s="721"/>
      <c r="AZ52" s="721"/>
      <c r="BA52" s="722"/>
      <c r="BF52" s="859" t="s">
        <v>449</v>
      </c>
      <c r="BG52" s="859"/>
      <c r="BH52" s="859"/>
      <c r="BI52" s="859"/>
      <c r="BJ52" s="859"/>
      <c r="BK52" s="859"/>
      <c r="BL52" s="859"/>
      <c r="BM52" s="859"/>
      <c r="BN52" s="859"/>
      <c r="BO52" s="859"/>
      <c r="BP52" s="859"/>
      <c r="BQ52" s="859"/>
      <c r="BR52" s="859"/>
      <c r="BS52" s="859"/>
      <c r="BT52" s="859"/>
      <c r="BU52" s="859"/>
      <c r="BV52" s="859"/>
      <c r="BW52" s="859"/>
      <c r="BX52" s="859"/>
      <c r="BY52" s="1032">
        <f>COUNTIFS('RC and FUNDS FOR YOU'!M15:M4897,"&gt;=07/01/2020",'RC and FUNDS FOR YOU'!M15:M4897,"&lt;=06/30/2025")</f>
        <v>0</v>
      </c>
      <c r="BZ52" s="1032"/>
      <c r="CA52" s="1032"/>
      <c r="CB52" s="1032"/>
      <c r="CC52" s="1032"/>
      <c r="CF52" s="73"/>
      <c r="CG52" s="73"/>
      <c r="CH52" s="73"/>
      <c r="CI52" s="73"/>
      <c r="CJ52" s="73"/>
      <c r="CK52" s="73"/>
      <c r="CL52" s="73"/>
      <c r="CM52" s="73"/>
      <c r="CN52" s="73"/>
      <c r="CO52" s="73"/>
      <c r="CP52" s="73"/>
      <c r="CQ52" s="73"/>
      <c r="CR52" s="73"/>
    </row>
    <row r="53" spans="1:100" ht="20.100000000000001" customHeight="1" x14ac:dyDescent="0.25">
      <c r="A53" s="19">
        <f t="shared" si="10"/>
        <v>41</v>
      </c>
      <c r="B53" s="738" t="s">
        <v>450</v>
      </c>
      <c r="C53" s="738"/>
      <c r="D53" s="738"/>
      <c r="E53" s="738"/>
      <c r="F53" s="738"/>
      <c r="G53" s="753">
        <f>COUNTIFS('RC and FUNDS FOR YOU'!F15:F4691,"Marion")</f>
        <v>0</v>
      </c>
      <c r="H53" s="753"/>
      <c r="I53" s="753"/>
      <c r="J53" s="753"/>
      <c r="K53" s="753"/>
      <c r="L53" s="753"/>
      <c r="M53" s="19">
        <f t="shared" si="5"/>
        <v>69</v>
      </c>
      <c r="N53" s="739" t="s">
        <v>451</v>
      </c>
      <c r="O53" s="739"/>
      <c r="P53" s="739"/>
      <c r="Q53" s="739"/>
      <c r="R53" s="739"/>
      <c r="S53" s="753">
        <f>COUNTIFS('RC and FUNDS FOR YOU'!F15:F4691,"Wetzel")</f>
        <v>0</v>
      </c>
      <c r="T53" s="753"/>
      <c r="U53" s="753"/>
      <c r="V53" s="753"/>
      <c r="W53" s="753"/>
      <c r="X53" s="753"/>
      <c r="Y53" s="15"/>
      <c r="Z53" s="15"/>
      <c r="BF53" s="1030" t="s">
        <v>452</v>
      </c>
      <c r="BG53" s="1030"/>
      <c r="BH53" s="1030"/>
      <c r="BI53" s="1030"/>
      <c r="BJ53" s="1030"/>
      <c r="BK53" s="1030"/>
      <c r="BL53" s="1030"/>
      <c r="BM53" s="1030"/>
      <c r="BN53" s="1030"/>
      <c r="BO53" s="1030"/>
      <c r="BP53" s="1030"/>
      <c r="BQ53" s="1030"/>
      <c r="BR53" s="1030"/>
      <c r="BS53" s="1030"/>
      <c r="BT53" s="1030"/>
      <c r="BU53" s="1030"/>
      <c r="BV53" s="1030"/>
      <c r="BW53" s="1030"/>
      <c r="BX53" s="1030"/>
      <c r="BY53" s="858">
        <f>COUNTIFS('RC and FUNDS FOR YOU'!AU15:AU4897,"&gt;=07/01/2000",'RC and FUNDS FOR YOU'!AU15:AU4897,"&lt;=06/30/2025")</f>
        <v>1</v>
      </c>
      <c r="BZ53" s="858"/>
      <c r="CA53" s="858"/>
      <c r="CB53" s="858"/>
      <c r="CC53" s="858"/>
      <c r="CF53" s="73"/>
      <c r="CG53" s="73"/>
      <c r="CH53" s="73"/>
      <c r="CI53" s="73"/>
      <c r="CJ53" s="73"/>
      <c r="CK53" s="73"/>
      <c r="CL53" s="73"/>
      <c r="CM53" s="73"/>
      <c r="CN53" s="73"/>
      <c r="CO53" s="73"/>
      <c r="CP53" s="73"/>
      <c r="CQ53" s="73"/>
      <c r="CR53" s="73"/>
    </row>
    <row r="54" spans="1:100" ht="20.100000000000001" customHeight="1" x14ac:dyDescent="0.25">
      <c r="A54" s="19">
        <f t="shared" si="10"/>
        <v>42</v>
      </c>
      <c r="B54" s="739" t="s">
        <v>453</v>
      </c>
      <c r="C54" s="739"/>
      <c r="D54" s="739"/>
      <c r="E54" s="739"/>
      <c r="F54" s="739"/>
      <c r="G54" s="753">
        <f>COUNTIFS('RC and FUNDS FOR YOU'!F15:F4691,"Marshall")</f>
        <v>0</v>
      </c>
      <c r="H54" s="753"/>
      <c r="I54" s="753"/>
      <c r="J54" s="753"/>
      <c r="K54" s="753"/>
      <c r="L54" s="753"/>
      <c r="M54" s="19">
        <f t="shared" si="5"/>
        <v>70</v>
      </c>
      <c r="N54" s="738" t="s">
        <v>454</v>
      </c>
      <c r="O54" s="738"/>
      <c r="P54" s="738"/>
      <c r="Q54" s="738"/>
      <c r="R54" s="738"/>
      <c r="S54" s="753">
        <f>COUNTIFS('RC and FUNDS FOR YOU'!F15:F4691,"Wirt")</f>
        <v>0</v>
      </c>
      <c r="T54" s="753"/>
      <c r="U54" s="753"/>
      <c r="V54" s="753"/>
      <c r="W54" s="753"/>
      <c r="X54" s="753"/>
      <c r="Y54" s="15"/>
      <c r="Z54" s="15"/>
      <c r="AB54" s="726" t="s">
        <v>455</v>
      </c>
      <c r="AC54" s="727"/>
      <c r="AD54" s="727"/>
      <c r="AE54" s="727"/>
      <c r="AF54" s="727"/>
      <c r="AG54" s="727"/>
      <c r="AH54" s="727"/>
      <c r="AI54" s="727"/>
      <c r="AJ54" s="727"/>
      <c r="AK54" s="727"/>
      <c r="AL54" s="727"/>
      <c r="AM54" s="727"/>
      <c r="AN54" s="727"/>
      <c r="AO54" s="727"/>
      <c r="AP54" s="727"/>
      <c r="AQ54" s="727"/>
      <c r="AR54" s="727"/>
      <c r="AS54" s="727"/>
      <c r="AT54" s="727"/>
      <c r="AU54" s="728"/>
      <c r="AV54" s="979" t="s">
        <v>412</v>
      </c>
      <c r="AW54" s="980"/>
      <c r="AX54" s="980"/>
      <c r="AY54" s="980"/>
      <c r="AZ54" s="980"/>
      <c r="BA54" s="981"/>
      <c r="BF54" s="859" t="s">
        <v>456</v>
      </c>
      <c r="BG54" s="859"/>
      <c r="BH54" s="859"/>
      <c r="BI54" s="859"/>
      <c r="BJ54" s="859"/>
      <c r="BK54" s="859"/>
      <c r="BL54" s="859"/>
      <c r="BM54" s="859"/>
      <c r="BN54" s="859"/>
      <c r="BO54" s="859"/>
      <c r="BP54" s="859"/>
      <c r="BQ54" s="859"/>
      <c r="BR54" s="859"/>
      <c r="BS54" s="859"/>
      <c r="BT54" s="859"/>
      <c r="BU54" s="859"/>
      <c r="BV54" s="859"/>
      <c r="BW54" s="859"/>
      <c r="BX54" s="859"/>
      <c r="BY54" s="907">
        <f>BY50-BY53</f>
        <v>-1</v>
      </c>
      <c r="BZ54" s="907"/>
      <c r="CA54" s="907"/>
      <c r="CB54" s="907"/>
      <c r="CC54" s="907"/>
    </row>
    <row r="55" spans="1:100" ht="20.100000000000001" customHeight="1" x14ac:dyDescent="0.25">
      <c r="A55" s="19">
        <f t="shared" si="10"/>
        <v>43</v>
      </c>
      <c r="B55" s="738" t="s">
        <v>457</v>
      </c>
      <c r="C55" s="738"/>
      <c r="D55" s="738"/>
      <c r="E55" s="738"/>
      <c r="F55" s="738"/>
      <c r="G55" s="753">
        <f>COUNTIFS('RC and FUNDS FOR YOU'!F15:F4691,"Mason")</f>
        <v>0</v>
      </c>
      <c r="H55" s="753"/>
      <c r="I55" s="753"/>
      <c r="J55" s="753"/>
      <c r="K55" s="753"/>
      <c r="L55" s="753"/>
      <c r="M55" s="19">
        <f t="shared" si="5"/>
        <v>71</v>
      </c>
      <c r="N55" s="738" t="s">
        <v>458</v>
      </c>
      <c r="O55" s="738"/>
      <c r="P55" s="738"/>
      <c r="Q55" s="738"/>
      <c r="R55" s="738"/>
      <c r="S55" s="753">
        <f>COUNTIFS('RC and FUNDS FOR YOU'!F15:F4691,"Wood")</f>
        <v>0</v>
      </c>
      <c r="T55" s="753"/>
      <c r="U55" s="753"/>
      <c r="V55" s="753"/>
      <c r="W55" s="753"/>
      <c r="X55" s="753"/>
      <c r="Y55" s="15"/>
      <c r="Z55" s="15"/>
      <c r="AB55" s="714" t="s">
        <v>459</v>
      </c>
      <c r="AC55" s="715"/>
      <c r="AD55" s="715"/>
      <c r="AE55" s="715"/>
      <c r="AF55" s="715"/>
      <c r="AG55" s="715"/>
      <c r="AH55" s="715"/>
      <c r="AI55" s="715"/>
      <c r="AJ55" s="715"/>
      <c r="AK55" s="715"/>
      <c r="AL55" s="715"/>
      <c r="AM55" s="715"/>
      <c r="AN55" s="715"/>
      <c r="AO55" s="715"/>
      <c r="AP55" s="715"/>
      <c r="AQ55" s="715"/>
      <c r="AR55" s="715"/>
      <c r="AS55" s="715"/>
      <c r="AT55" s="715"/>
      <c r="AU55" s="716"/>
      <c r="AV55" s="732">
        <f>COUNTIFS('RC and FUNDS FOR YOU'!AV14:AV1690,"YES")</f>
        <v>0</v>
      </c>
      <c r="AW55" s="732"/>
      <c r="AX55" s="732"/>
      <c r="AY55" s="732"/>
      <c r="AZ55" s="732"/>
      <c r="BA55" s="732"/>
      <c r="BF55" s="860"/>
      <c r="BG55" s="860"/>
      <c r="BH55" s="860"/>
      <c r="BI55" s="860"/>
      <c r="BJ55" s="860"/>
      <c r="BK55" s="860"/>
      <c r="BL55" s="860"/>
      <c r="BM55" s="860"/>
      <c r="BN55" s="860"/>
      <c r="BO55" s="860"/>
      <c r="BP55" s="860"/>
      <c r="BQ55" s="860"/>
      <c r="BR55" s="860"/>
      <c r="BS55" s="860"/>
      <c r="BT55" s="860"/>
      <c r="BU55" s="860"/>
      <c r="BV55" s="860"/>
      <c r="BW55" s="860"/>
      <c r="BX55" s="860"/>
      <c r="BY55" s="908"/>
      <c r="BZ55" s="908"/>
      <c r="CA55" s="908"/>
      <c r="CB55" s="908"/>
      <c r="CC55" s="908"/>
    </row>
    <row r="56" spans="1:100" ht="20.100000000000001" customHeight="1" x14ac:dyDescent="0.25">
      <c r="A56" s="19">
        <f t="shared" si="10"/>
        <v>44</v>
      </c>
      <c r="B56" s="738" t="s">
        <v>460</v>
      </c>
      <c r="C56" s="738"/>
      <c r="D56" s="738"/>
      <c r="E56" s="738"/>
      <c r="F56" s="738"/>
      <c r="G56" s="753">
        <f>COUNTIFS('RC and FUNDS FOR YOU'!F15:F4691,"McDowell")</f>
        <v>0</v>
      </c>
      <c r="H56" s="753"/>
      <c r="I56" s="753"/>
      <c r="J56" s="753"/>
      <c r="K56" s="753"/>
      <c r="L56" s="753"/>
      <c r="M56" s="19">
        <f t="shared" si="5"/>
        <v>72</v>
      </c>
      <c r="N56" s="738" t="s">
        <v>461</v>
      </c>
      <c r="O56" s="738"/>
      <c r="P56" s="738"/>
      <c r="Q56" s="738"/>
      <c r="R56" s="738"/>
      <c r="S56" s="753">
        <f>COUNTIFS('RC and FUNDS FOR YOU'!F15:F4691,"Wyoming")</f>
        <v>0</v>
      </c>
      <c r="T56" s="753"/>
      <c r="U56" s="753"/>
      <c r="V56" s="753"/>
      <c r="W56" s="753"/>
      <c r="X56" s="753"/>
      <c r="Y56" s="15"/>
      <c r="Z56" s="15"/>
      <c r="AB56" s="714" t="s">
        <v>462</v>
      </c>
      <c r="AC56" s="715"/>
      <c r="AD56" s="715"/>
      <c r="AE56" s="715"/>
      <c r="AF56" s="715"/>
      <c r="AG56" s="715"/>
      <c r="AH56" s="715"/>
      <c r="AI56" s="715"/>
      <c r="AJ56" s="715"/>
      <c r="AK56" s="715"/>
      <c r="AL56" s="715"/>
      <c r="AM56" s="715"/>
      <c r="AN56" s="715"/>
      <c r="AO56" s="715"/>
      <c r="AP56" s="715"/>
      <c r="AQ56" s="715"/>
      <c r="AR56" s="715"/>
      <c r="AS56" s="715"/>
      <c r="AT56" s="715"/>
      <c r="AU56" s="716"/>
      <c r="AV56" s="732">
        <f>COUNTIFS('RC and FUNDS FOR YOU'!AV14:AV1690,"NO")</f>
        <v>0</v>
      </c>
      <c r="AW56" s="732"/>
      <c r="AX56" s="732"/>
      <c r="AY56" s="732"/>
      <c r="AZ56" s="732"/>
      <c r="BA56" s="732"/>
    </row>
    <row r="57" spans="1:100" ht="20.100000000000001" customHeight="1" x14ac:dyDescent="0.25">
      <c r="A57" s="19">
        <f t="shared" si="10"/>
        <v>45</v>
      </c>
      <c r="B57" s="738" t="s">
        <v>463</v>
      </c>
      <c r="C57" s="738"/>
      <c r="D57" s="738"/>
      <c r="E57" s="738"/>
      <c r="F57" s="738"/>
      <c r="G57" s="753">
        <f>COUNTIFS('RC and FUNDS FOR YOU'!F15:F4691,"Mercer")</f>
        <v>0</v>
      </c>
      <c r="H57" s="753"/>
      <c r="I57" s="753"/>
      <c r="J57" s="753"/>
      <c r="K57" s="753"/>
      <c r="L57" s="753"/>
      <c r="M57" s="835" t="s">
        <v>412</v>
      </c>
      <c r="N57" s="836"/>
      <c r="O57" s="836"/>
      <c r="P57" s="836"/>
      <c r="Q57" s="836"/>
      <c r="R57" s="837"/>
      <c r="S57" s="832">
        <f>SUM(S30:S56)</f>
        <v>0</v>
      </c>
      <c r="T57" s="832"/>
      <c r="U57" s="832"/>
      <c r="V57" s="832"/>
      <c r="W57" s="832"/>
      <c r="X57" s="832"/>
      <c r="Y57" s="15"/>
      <c r="Z57" s="15"/>
      <c r="AB57" s="717"/>
      <c r="AC57" s="718"/>
      <c r="AD57" s="718"/>
      <c r="AE57" s="718"/>
      <c r="AF57" s="718"/>
      <c r="AG57" s="718"/>
      <c r="AH57" s="718"/>
      <c r="AI57" s="718"/>
      <c r="AJ57" s="718"/>
      <c r="AK57" s="718"/>
      <c r="AL57" s="718"/>
      <c r="AM57" s="718"/>
      <c r="AN57" s="718"/>
      <c r="AO57" s="718"/>
      <c r="AP57" s="718"/>
      <c r="AQ57" s="718"/>
      <c r="AR57" s="718"/>
      <c r="AS57" s="718"/>
      <c r="AT57" s="718"/>
      <c r="AU57" s="719"/>
      <c r="AV57" s="750">
        <f>SUM(AV55:AV56)</f>
        <v>0</v>
      </c>
      <c r="AW57" s="751"/>
      <c r="AX57" s="751"/>
      <c r="AY57" s="751"/>
      <c r="AZ57" s="751"/>
      <c r="BA57" s="752"/>
    </row>
    <row r="58" spans="1:100" ht="20.100000000000001" customHeight="1" x14ac:dyDescent="0.25">
      <c r="A58" s="835" t="s">
        <v>412</v>
      </c>
      <c r="B58" s="836"/>
      <c r="C58" s="836"/>
      <c r="D58" s="836"/>
      <c r="E58" s="836"/>
      <c r="F58" s="837"/>
      <c r="G58" s="832">
        <f>SUM(G30:G57)</f>
        <v>0</v>
      </c>
      <c r="H58" s="832"/>
      <c r="I58" s="832"/>
      <c r="J58" s="832"/>
      <c r="K58" s="832"/>
      <c r="L58" s="832"/>
      <c r="M58" s="861" t="s">
        <v>464</v>
      </c>
      <c r="N58" s="862"/>
      <c r="O58" s="862"/>
      <c r="P58" s="862"/>
      <c r="Q58" s="862"/>
      <c r="R58" s="863"/>
      <c r="S58" s="794">
        <f>G58+S57</f>
        <v>0</v>
      </c>
      <c r="T58" s="794"/>
      <c r="U58" s="794"/>
      <c r="V58" s="794"/>
      <c r="W58" s="794"/>
      <c r="X58" s="794"/>
      <c r="Y58" s="15"/>
      <c r="Z58" s="15"/>
    </row>
    <row r="59" spans="1:100" ht="20.100000000000001" customHeight="1" x14ac:dyDescent="0.25">
      <c r="Y59" s="15"/>
      <c r="Z59" s="15"/>
    </row>
    <row r="60" spans="1:100" ht="20.100000000000001" customHeight="1" x14ac:dyDescent="0.25">
      <c r="Y60" s="15"/>
      <c r="Z60" s="15"/>
      <c r="AA60" s="15"/>
      <c r="AB60" s="11"/>
      <c r="AC60" s="11"/>
      <c r="AD60" s="11"/>
      <c r="AE60" s="11"/>
      <c r="AF60" s="11"/>
      <c r="AG60" s="11"/>
      <c r="AH60" s="11"/>
      <c r="AI60" s="11"/>
      <c r="AJ60" s="11"/>
      <c r="AK60" s="11"/>
      <c r="AL60" s="11"/>
      <c r="AM60" s="11"/>
      <c r="AN60" s="11"/>
      <c r="AO60" s="11"/>
      <c r="AP60" s="11"/>
      <c r="AQ60" s="15"/>
      <c r="AR60" s="15"/>
      <c r="AS60" s="15"/>
      <c r="AT60" s="15"/>
      <c r="AU60" s="15"/>
      <c r="AV60" s="15"/>
    </row>
    <row r="61" spans="1:100" ht="20.100000000000001" customHeight="1" x14ac:dyDescent="0.35">
      <c r="A61" s="788" t="s">
        <v>465</v>
      </c>
      <c r="B61" s="789"/>
      <c r="C61" s="789"/>
      <c r="D61" s="789"/>
      <c r="E61" s="789"/>
      <c r="F61" s="789"/>
      <c r="G61" s="789"/>
      <c r="H61" s="789"/>
      <c r="I61" s="789"/>
      <c r="J61" s="789"/>
      <c r="K61" s="789"/>
      <c r="L61" s="789"/>
      <c r="M61" s="789"/>
      <c r="N61" s="789"/>
      <c r="O61" s="789"/>
      <c r="P61" s="789"/>
      <c r="Q61" s="789"/>
      <c r="R61" s="789"/>
      <c r="S61" s="789"/>
      <c r="T61" s="789"/>
      <c r="U61" s="789"/>
      <c r="V61" s="789"/>
      <c r="W61" s="789"/>
      <c r="X61" s="789"/>
      <c r="Y61" s="14"/>
      <c r="Z61" s="14"/>
      <c r="AA61" s="14"/>
      <c r="AB61" s="793" t="s">
        <v>466</v>
      </c>
      <c r="AC61" s="793"/>
      <c r="AD61" s="793"/>
      <c r="AE61" s="793"/>
      <c r="AF61" s="793"/>
      <c r="AG61" s="793"/>
      <c r="AH61" s="793"/>
      <c r="AI61" s="793"/>
      <c r="AJ61" s="793"/>
      <c r="AK61" s="793"/>
      <c r="AL61" s="816" t="s">
        <v>368</v>
      </c>
      <c r="AM61" s="816"/>
      <c r="AN61" s="816"/>
      <c r="AO61" s="816"/>
      <c r="AP61" s="816"/>
      <c r="AQ61" s="816"/>
      <c r="AR61" s="816"/>
      <c r="AS61" s="816"/>
      <c r="AT61" s="816"/>
      <c r="AU61" s="816"/>
      <c r="AV61" s="816"/>
      <c r="AW61" s="816"/>
      <c r="AX61" s="816"/>
      <c r="AY61" s="816"/>
      <c r="AZ61" s="816"/>
      <c r="BA61" s="816"/>
      <c r="BB61" s="816"/>
      <c r="BC61" s="816"/>
      <c r="BD61" s="816"/>
      <c r="BE61" s="816"/>
      <c r="BF61" s="816"/>
      <c r="BG61" s="816"/>
      <c r="BH61" s="816"/>
      <c r="BI61" s="816"/>
      <c r="BJ61" s="816"/>
      <c r="BK61" s="816"/>
      <c r="BL61" s="816"/>
      <c r="BM61" s="816"/>
      <c r="BN61" s="816"/>
      <c r="BO61" s="816"/>
      <c r="BP61" s="816"/>
      <c r="BQ61" s="816"/>
      <c r="BR61" s="60"/>
      <c r="BS61" s="816" t="s">
        <v>369</v>
      </c>
      <c r="BT61" s="816"/>
      <c r="BU61" s="816"/>
      <c r="BV61" s="816"/>
      <c r="BW61" s="816"/>
      <c r="BX61" s="816"/>
      <c r="BY61" s="816"/>
      <c r="BZ61" s="816"/>
      <c r="CA61" s="816"/>
      <c r="CB61" s="816"/>
      <c r="CC61" s="816"/>
      <c r="CD61" s="816"/>
      <c r="CE61" s="816"/>
      <c r="CF61" s="816"/>
      <c r="CG61" s="816"/>
      <c r="CH61" s="816"/>
    </row>
    <row r="62" spans="1:100" ht="45" customHeight="1" x14ac:dyDescent="0.25">
      <c r="A62" s="790"/>
      <c r="B62" s="791"/>
      <c r="C62" s="791"/>
      <c r="D62" s="791"/>
      <c r="E62" s="791"/>
      <c r="F62" s="791"/>
      <c r="G62" s="791"/>
      <c r="H62" s="791"/>
      <c r="I62" s="791"/>
      <c r="J62" s="791"/>
      <c r="K62" s="791"/>
      <c r="L62" s="791"/>
      <c r="M62" s="791"/>
      <c r="N62" s="791"/>
      <c r="O62" s="791"/>
      <c r="P62" s="791"/>
      <c r="Q62" s="791"/>
      <c r="R62" s="791"/>
      <c r="S62" s="791"/>
      <c r="T62" s="791"/>
      <c r="U62" s="791"/>
      <c r="V62" s="791"/>
      <c r="W62" s="791"/>
      <c r="X62" s="791"/>
      <c r="Y62" s="14"/>
      <c r="Z62" s="14"/>
      <c r="AA62" s="14"/>
      <c r="AB62" s="844" t="s">
        <v>370</v>
      </c>
      <c r="AC62" s="845"/>
      <c r="AD62" s="845"/>
      <c r="AE62" s="845"/>
      <c r="AF62" s="845"/>
      <c r="AG62" s="845"/>
      <c r="AH62" s="845"/>
      <c r="AI62" s="845"/>
      <c r="AJ62" s="845"/>
      <c r="AK62" s="846"/>
      <c r="AL62" s="817" t="s">
        <v>371</v>
      </c>
      <c r="AM62" s="817"/>
      <c r="AN62" s="817"/>
      <c r="AO62" s="817"/>
      <c r="AP62" s="817" t="s">
        <v>372</v>
      </c>
      <c r="AQ62" s="817"/>
      <c r="AR62" s="817"/>
      <c r="AS62" s="817"/>
      <c r="AT62" s="817" t="s">
        <v>373</v>
      </c>
      <c r="AU62" s="817"/>
      <c r="AV62" s="817"/>
      <c r="AW62" s="817"/>
      <c r="AX62" s="817" t="s">
        <v>374</v>
      </c>
      <c r="AY62" s="817"/>
      <c r="AZ62" s="817"/>
      <c r="BA62" s="817"/>
      <c r="BB62" s="817" t="s">
        <v>375</v>
      </c>
      <c r="BC62" s="817"/>
      <c r="BD62" s="817"/>
      <c r="BE62" s="817"/>
      <c r="BF62" s="817" t="s">
        <v>376</v>
      </c>
      <c r="BG62" s="817"/>
      <c r="BH62" s="817"/>
      <c r="BI62" s="817"/>
      <c r="BJ62" s="817" t="s">
        <v>377</v>
      </c>
      <c r="BK62" s="817"/>
      <c r="BL62" s="817"/>
      <c r="BM62" s="817"/>
      <c r="BN62" s="1033" t="s">
        <v>378</v>
      </c>
      <c r="BO62" s="1033"/>
      <c r="BP62" s="1033"/>
      <c r="BQ62" s="1033"/>
      <c r="BR62" s="13"/>
      <c r="BS62" s="877" t="s">
        <v>379</v>
      </c>
      <c r="BT62" s="877"/>
      <c r="BU62" s="877"/>
      <c r="BV62" s="877"/>
      <c r="BW62" s="877" t="s">
        <v>467</v>
      </c>
      <c r="BX62" s="877"/>
      <c r="BY62" s="877"/>
      <c r="BZ62" s="877"/>
      <c r="CA62" s="877" t="s">
        <v>377</v>
      </c>
      <c r="CB62" s="877"/>
      <c r="CC62" s="877"/>
      <c r="CD62" s="877"/>
      <c r="CE62" s="864" t="s">
        <v>378</v>
      </c>
      <c r="CF62" s="864"/>
      <c r="CG62" s="864" t="s">
        <v>378</v>
      </c>
      <c r="CH62" s="864"/>
    </row>
    <row r="63" spans="1:100" ht="20.100000000000001" customHeight="1" x14ac:dyDescent="0.35">
      <c r="A63" s="17" t="s">
        <v>234</v>
      </c>
      <c r="B63" s="792" t="s">
        <v>381</v>
      </c>
      <c r="C63" s="792"/>
      <c r="D63" s="792"/>
      <c r="E63" s="792"/>
      <c r="F63" s="792"/>
      <c r="G63" s="793" t="s">
        <v>378</v>
      </c>
      <c r="H63" s="793"/>
      <c r="I63" s="793"/>
      <c r="J63" s="793"/>
      <c r="K63" s="793"/>
      <c r="L63" s="793"/>
      <c r="M63" s="63" t="s">
        <v>234</v>
      </c>
      <c r="N63" s="792" t="s">
        <v>381</v>
      </c>
      <c r="O63" s="792"/>
      <c r="P63" s="792"/>
      <c r="Q63" s="792"/>
      <c r="R63" s="792"/>
      <c r="S63" s="793" t="s">
        <v>378</v>
      </c>
      <c r="T63" s="793"/>
      <c r="U63" s="793"/>
      <c r="V63" s="793"/>
      <c r="W63" s="793"/>
      <c r="X63" s="793"/>
      <c r="AB63" s="847"/>
      <c r="AC63" s="848"/>
      <c r="AD63" s="848"/>
      <c r="AE63" s="848"/>
      <c r="AF63" s="848"/>
      <c r="AG63" s="848"/>
      <c r="AH63" s="848"/>
      <c r="AI63" s="848"/>
      <c r="AJ63" s="848"/>
      <c r="AK63" s="849"/>
      <c r="AL63" s="802" t="s">
        <v>382</v>
      </c>
      <c r="AM63" s="803"/>
      <c r="AN63" s="804" t="s">
        <v>383</v>
      </c>
      <c r="AO63" s="805"/>
      <c r="AP63" s="802" t="s">
        <v>382</v>
      </c>
      <c r="AQ63" s="803"/>
      <c r="AR63" s="804" t="s">
        <v>383</v>
      </c>
      <c r="AS63" s="805"/>
      <c r="AT63" s="802" t="s">
        <v>382</v>
      </c>
      <c r="AU63" s="803"/>
      <c r="AV63" s="804" t="s">
        <v>383</v>
      </c>
      <c r="AW63" s="805"/>
      <c r="AX63" s="802" t="s">
        <v>382</v>
      </c>
      <c r="AY63" s="803"/>
      <c r="AZ63" s="804" t="s">
        <v>383</v>
      </c>
      <c r="BA63" s="805"/>
      <c r="BB63" s="802" t="s">
        <v>382</v>
      </c>
      <c r="BC63" s="803"/>
      <c r="BD63" s="804" t="s">
        <v>383</v>
      </c>
      <c r="BE63" s="805"/>
      <c r="BF63" s="802" t="s">
        <v>382</v>
      </c>
      <c r="BG63" s="803"/>
      <c r="BH63" s="804" t="s">
        <v>383</v>
      </c>
      <c r="BI63" s="805"/>
      <c r="BJ63" s="802" t="s">
        <v>382</v>
      </c>
      <c r="BK63" s="803"/>
      <c r="BL63" s="804" t="s">
        <v>383</v>
      </c>
      <c r="BM63" s="805"/>
      <c r="BN63" s="806" t="s">
        <v>382</v>
      </c>
      <c r="BO63" s="807"/>
      <c r="BP63" s="808" t="s">
        <v>383</v>
      </c>
      <c r="BQ63" s="809"/>
      <c r="BR63" s="13"/>
      <c r="BS63" s="810" t="s">
        <v>382</v>
      </c>
      <c r="BT63" s="811"/>
      <c r="BU63" s="812" t="s">
        <v>383</v>
      </c>
      <c r="BV63" s="813"/>
      <c r="BW63" s="810" t="s">
        <v>382</v>
      </c>
      <c r="BX63" s="811"/>
      <c r="BY63" s="812" t="s">
        <v>383</v>
      </c>
      <c r="BZ63" s="813"/>
      <c r="CA63" s="810" t="s">
        <v>382</v>
      </c>
      <c r="CB63" s="811"/>
      <c r="CC63" s="812" t="s">
        <v>383</v>
      </c>
      <c r="CD63" s="813"/>
      <c r="CE63" s="745" t="s">
        <v>382</v>
      </c>
      <c r="CF63" s="746"/>
      <c r="CG63" s="745" t="s">
        <v>383</v>
      </c>
      <c r="CH63" s="746"/>
    </row>
    <row r="64" spans="1:100" ht="20.100000000000001" customHeight="1" x14ac:dyDescent="0.25">
      <c r="A64" s="27">
        <f t="shared" ref="A64:A74" si="11">ROW(A1)</f>
        <v>1</v>
      </c>
      <c r="B64" s="691" t="s">
        <v>384</v>
      </c>
      <c r="C64" s="691"/>
      <c r="D64" s="691"/>
      <c r="E64" s="691"/>
      <c r="F64" s="691"/>
      <c r="G64" s="692">
        <f>COUNTIFS('RC and FUNDS FOR YOU'!F15:F4718,"Barbour",'RC and FUNDS FOR YOU'!W15:W4718,"YES")</f>
        <v>0</v>
      </c>
      <c r="H64" s="692"/>
      <c r="I64" s="692"/>
      <c r="J64" s="692"/>
      <c r="K64" s="692"/>
      <c r="L64" s="692"/>
      <c r="M64" s="27">
        <f>ROW(A43)</f>
        <v>43</v>
      </c>
      <c r="N64" s="691" t="s">
        <v>385</v>
      </c>
      <c r="O64" s="691"/>
      <c r="P64" s="691"/>
      <c r="Q64" s="691"/>
      <c r="R64" s="691"/>
      <c r="S64" s="692">
        <f>COUNTIFS('RC and FUNDS FOR YOU'!F15:F4718,"Mineral",'RC and FUNDS FOR YOU'!W15:W4718,"YES")</f>
        <v>0</v>
      </c>
      <c r="T64" s="692"/>
      <c r="U64" s="692"/>
      <c r="V64" s="692"/>
      <c r="W64" s="692"/>
      <c r="X64" s="692"/>
      <c r="Y64" s="15"/>
      <c r="Z64" s="15"/>
      <c r="AA64" s="15"/>
      <c r="AB64" s="731" t="s">
        <v>386</v>
      </c>
      <c r="AC64" s="731"/>
      <c r="AD64" s="731"/>
      <c r="AE64" s="731"/>
      <c r="AF64" s="731"/>
      <c r="AG64" s="731"/>
      <c r="AH64" s="731"/>
      <c r="AI64" s="731"/>
      <c r="AJ64" s="731"/>
      <c r="AK64" s="731"/>
      <c r="AL64" s="814">
        <f>COUNTIFS('RC and FUNDS FOR YOU'!G15:G4791,"&gt;=0",'RC and FUNDS FOR YOU'!G15:G4791,"&lt;=12",'RC and FUNDS FOR YOU'!I15:I4791,"White / Caucasian ",'RC and FUNDS FOR YOU'!H15:H4791,"Male",'RC and FUNDS FOR YOU'!W15:W4791,"YES")</f>
        <v>0</v>
      </c>
      <c r="AM64" s="815"/>
      <c r="AN64" s="827">
        <f>COUNTIFS('RC and FUNDS FOR YOU'!G15:G4791,"&gt;=0",'RC and FUNDS FOR YOU'!G15:G4791,"&lt;=12",'RC and FUNDS FOR YOU'!I15:I4791,"White / Caucasian ",'RC and FUNDS FOR YOU'!H15:H4791,"Female",'RC and FUNDS FOR YOU'!W15:W4791,"YES")</f>
        <v>0</v>
      </c>
      <c r="AO64" s="828"/>
      <c r="AP64" s="814">
        <f>COUNTIFS('RC and FUNDS FOR YOU'!G15:G4791,"&gt;=0",'RC and FUNDS FOR YOU'!G15:G4791,"&lt;=12",'RC and FUNDS FOR YOU'!I15:I4791,"African American /Black",'RC and FUNDS FOR YOU'!H15:H4791,"Male",'RC and FUNDS FOR YOU'!W15:W4791,"YES")</f>
        <v>0</v>
      </c>
      <c r="AQ64" s="815"/>
      <c r="AR64" s="827">
        <f>COUNTIFS('RC and FUNDS FOR YOU'!G15:G4791,"&gt;=0",'RC and FUNDS FOR YOU'!G15:G4791,"&lt;=12",'RC and FUNDS FOR YOU'!I15:I4791,"African American /Black",'RC and FUNDS FOR YOU'!H15:H4791,"Female",'RC and FUNDS FOR YOU'!W15:W4791,"YES")</f>
        <v>0</v>
      </c>
      <c r="AS64" s="828"/>
      <c r="AT64" s="833">
        <f>COUNTIFS('RC and FUNDS FOR YOU'!G15:G4791,"&gt;=0",'RC and FUNDS FOR YOU'!G15:G4791,"&lt;=12",'RC and FUNDS FOR YOU'!I15:I4791,"Native Hawaiian/Pacific Islander",'RC and FUNDS FOR YOU'!H15:H4791,"Male",'RC and FUNDS FOR YOU'!W15:W4791,"YES")</f>
        <v>0</v>
      </c>
      <c r="AU64" s="834"/>
      <c r="AV64" s="827">
        <f>COUNTIFS('RC and FUNDS FOR YOU'!G15:G4791,"&gt;=0",'RC and FUNDS FOR YOU'!G15:G4791,"&lt;=12",'RC and FUNDS FOR YOU'!I15:I4791,"Native Hawaiian/Pacific Islander",'RC and FUNDS FOR YOU'!H15:H4791,"Female",'RC and FUNDS FOR YOU'!W15:W4791,"YES")</f>
        <v>0</v>
      </c>
      <c r="AW64" s="828"/>
      <c r="AX64" s="833">
        <f>COUNTIFS('RC and FUNDS FOR YOU'!G15:G4791,"&gt;=0",'RC and FUNDS FOR YOU'!G15:G4791,"&lt;=12",'RC and FUNDS FOR YOU'!I15:I4791,"Asian",'RC and FUNDS FOR YOU'!H15:H4791,"Male",'RC and FUNDS FOR YOU'!W15:W4791,"YES")</f>
        <v>0</v>
      </c>
      <c r="AY64" s="834"/>
      <c r="AZ64" s="827">
        <f>COUNTIFS('RC and FUNDS FOR YOU'!G15:G4791,"&gt;=0",'RC and FUNDS FOR YOU'!G15:G4791,"&lt;=12",'RC and FUNDS FOR YOU'!I15:I4791,"Asian",'RC and FUNDS FOR YOU'!H15:H4791,"Female",'RC and FUNDS FOR YOU'!W15:W4791,"YES")</f>
        <v>0</v>
      </c>
      <c r="BA64" s="828"/>
      <c r="BB64" s="814">
        <f>COUNTIFS('RC and FUNDS FOR YOU'!G15:G4791,"&gt;=0",'RC and FUNDS FOR YOU'!G15:G4791,"&lt;=12",'RC and FUNDS FOR YOU'!I15:I4791,"American Indian  / Alaska Native",'RC and FUNDS FOR YOU'!H15:H4791,"Male",'RC and FUNDS FOR YOU'!W15:W4791,"YES")</f>
        <v>0</v>
      </c>
      <c r="BC64" s="815"/>
      <c r="BD64" s="827">
        <f>COUNTIFS('RC and FUNDS FOR YOU'!G15:G4791,"&gt;=0",'RC and FUNDS FOR YOU'!G15:G4791,"&lt;=12",'RC and FUNDS FOR YOU'!I15:I4791,"American Indian  / Alaska Native",'RC and FUNDS FOR YOU'!H15:H4791,"Female",'RC and FUNDS FOR YOU'!W15:W4791,"YES")</f>
        <v>0</v>
      </c>
      <c r="BE64" s="828"/>
      <c r="BF64" s="814">
        <f>COUNTIFS('RC and FUNDS FOR YOU'!G15:G4791,"&gt;=0",'RC and FUNDS FOR YOU'!G15:G4791,"&lt;=12",'RC and FUNDS FOR YOU'!I15:I4791,"More than one race reported",'RC and FUNDS FOR YOU'!H15:H4791,"Male",'RC and FUNDS FOR YOU'!W15:W4791,"YES")</f>
        <v>0</v>
      </c>
      <c r="BG64" s="815"/>
      <c r="BH64" s="827">
        <f>COUNTIFS('RC and FUNDS FOR YOU'!G15:G4791,"&gt;=0",'RC and FUNDS FOR YOU'!G15:G4791,"&lt;=12",'RC and FUNDS FOR YOU'!I15:I4791,"More than one race reported",'RC and FUNDS FOR YOU'!H15:H4791,"Female",'RC and FUNDS FOR YOU'!W15:W4791,"YES")</f>
        <v>0</v>
      </c>
      <c r="BI64" s="828"/>
      <c r="BJ64" s="833">
        <f>COUNTIFS('RC and FUNDS FOR YOU'!G15:G4791,"&gt;=0",'RC and FUNDS FOR YOU'!G15:G4791,"&lt;=12",'RC and FUNDS FOR YOU'!I15:I4791,"Unknown",'RC and FUNDS FOR YOU'!H15:H4791,"Male",'RC and FUNDS FOR YOU'!W15:W4791,"YES")</f>
        <v>0</v>
      </c>
      <c r="BK64" s="834"/>
      <c r="BL64" s="827">
        <f>COUNTIFS('RC and FUNDS FOR YOU'!G15:G4791,"&gt;=0",'RC and FUNDS FOR YOU'!G15:G4791,"&lt;=12",'RC and FUNDS FOR YOU'!I15:I4791,"Unknown",'RC and FUNDS FOR YOU'!H15:H4791,"Female",'RC and FUNDS FOR YOU'!W15:W4791,"YES")</f>
        <v>0</v>
      </c>
      <c r="BM64" s="828"/>
      <c r="BN64" s="829">
        <f t="shared" ref="BN64:BN71" si="12">AL64+AP64+AT64+AX64+BB64+BF64+BJ64</f>
        <v>0</v>
      </c>
      <c r="BO64" s="830"/>
      <c r="BP64" s="829">
        <f t="shared" ref="BP64:BP71" si="13">AN64+AR64+AV64+AZ64+BD64+BH64+BL64</f>
        <v>0</v>
      </c>
      <c r="BQ64" s="830"/>
      <c r="BR64" s="13"/>
      <c r="BS64" s="869">
        <f>COUNTIFS('RC and FUNDS FOR YOU'!G15:G4791,"&gt;=0",'RC and FUNDS FOR YOU'!G15:G4791,"&lt;=12",'RC and FUNDS FOR YOU'!J15:J4791,"Not Hispanic or Latino",'RC and FUNDS FOR YOU'!H15:H4791,"Male",'RC and FUNDS FOR YOU'!W15:W4791,"YES")</f>
        <v>0</v>
      </c>
      <c r="BT64" s="870"/>
      <c r="BU64" s="865">
        <f>COUNTIFS('RC and FUNDS FOR YOU'!G15:G4791,"&gt;=0",'RC and FUNDS FOR YOU'!G15:G4791,"&lt;=12",'RC and FUNDS FOR YOU'!J15:J4791,"Not Hispanic or Latino",'RC and FUNDS FOR YOU'!H15:H4791,"Female",'RC and FUNDS FOR YOU'!W15:W4791,"YES")</f>
        <v>0</v>
      </c>
      <c r="BV64" s="866"/>
      <c r="BW64" s="869">
        <f>COUNTIFS('RC and FUNDS FOR YOU'!G15:G4791,"&gt;=0",'RC and FUNDS FOR YOU'!G15:G4791,"&lt;=12",'RC and FUNDS FOR YOU'!J15:J4791,"Hispanic-Latino ",'RC and FUNDS FOR YOU'!H15:H4791,"Male",'RC and FUNDS FOR YOU'!W15:W4791,"YES")</f>
        <v>0</v>
      </c>
      <c r="BX64" s="870"/>
      <c r="BY64" s="865">
        <f>COUNTIFS('RC and FUNDS FOR YOU'!G15:G4791,"&gt;=0",'RC and FUNDS FOR YOU'!G15:G4791,"&lt;=12",'RC and FUNDS FOR YOU'!J15:J4791,"Hispanic-Latino ",'RC and FUNDS FOR YOU'!H15:H4791,"Female",'RC and FUNDS FOR YOU'!W15:W4791,"YES")</f>
        <v>0</v>
      </c>
      <c r="BZ64" s="866"/>
      <c r="CA64" s="869">
        <f>COUNTIFS('RC and FUNDS FOR YOU'!G15:G4791,"&gt;=0",'RC and FUNDS FOR YOU'!G15:G4791,"&lt;=12",'RC and FUNDS FOR YOU'!J15:J4791,"Unknown",'RC and FUNDS FOR YOU'!H15:H4791,"Male",'RC and FUNDS FOR YOU'!W15:W4791,"YES")</f>
        <v>0</v>
      </c>
      <c r="CB64" s="870"/>
      <c r="CC64" s="865">
        <f>COUNTIFS('RC and FUNDS FOR YOU'!G15:G4791,"&gt;=0",'RC and FUNDS FOR YOU'!G15:G4791,"&lt;=12",'RC and FUNDS FOR YOU'!J15:J4791,"Unknown",'RC and FUNDS FOR YOU'!H15:H4791,"Female",'RC and FUNDS FOR YOU'!W15:W4791,"YES")</f>
        <v>0</v>
      </c>
      <c r="CD64" s="866"/>
      <c r="CE64" s="867">
        <f t="shared" ref="CE64:CE71" si="14">BS64+BW64+CA64</f>
        <v>0</v>
      </c>
      <c r="CF64" s="868"/>
      <c r="CG64" s="867">
        <f t="shared" ref="CG64:CG71" si="15">BU64+BY64+CC64</f>
        <v>0</v>
      </c>
      <c r="CH64" s="868"/>
    </row>
    <row r="65" spans="1:137" ht="20.100000000000001" customHeight="1" x14ac:dyDescent="0.25">
      <c r="A65" s="27">
        <f t="shared" si="11"/>
        <v>2</v>
      </c>
      <c r="B65" s="691" t="s">
        <v>387</v>
      </c>
      <c r="C65" s="691"/>
      <c r="D65" s="691"/>
      <c r="E65" s="691"/>
      <c r="F65" s="691"/>
      <c r="G65" s="692">
        <f>COUNTIFS('RC and FUNDS FOR YOU'!F15:F4718,"Berkeley",'RC and FUNDS FOR YOU'!W15:W4718,"YES")</f>
        <v>0</v>
      </c>
      <c r="H65" s="692"/>
      <c r="I65" s="692"/>
      <c r="J65" s="692"/>
      <c r="K65" s="692"/>
      <c r="L65" s="692"/>
      <c r="M65" s="27">
        <f t="shared" ref="M65:M90" si="16">ROW(A44)</f>
        <v>44</v>
      </c>
      <c r="N65" s="691" t="s">
        <v>388</v>
      </c>
      <c r="O65" s="691"/>
      <c r="P65" s="691"/>
      <c r="Q65" s="691"/>
      <c r="R65" s="691"/>
      <c r="S65" s="692">
        <f>COUNTIFS('RC and FUNDS FOR YOU'!F15:F4718,"Mingo",'RC and FUNDS FOR YOU'!W15:W4718,"YES")</f>
        <v>0</v>
      </c>
      <c r="T65" s="692"/>
      <c r="U65" s="692"/>
      <c r="V65" s="692"/>
      <c r="W65" s="692"/>
      <c r="X65" s="692"/>
      <c r="Y65" s="15"/>
      <c r="Z65" s="15"/>
      <c r="AA65" s="15"/>
      <c r="AB65" s="731" t="s">
        <v>389</v>
      </c>
      <c r="AC65" s="731"/>
      <c r="AD65" s="731"/>
      <c r="AE65" s="731"/>
      <c r="AF65" s="731"/>
      <c r="AG65" s="731"/>
      <c r="AH65" s="731"/>
      <c r="AI65" s="731"/>
      <c r="AJ65" s="731"/>
      <c r="AK65" s="731"/>
      <c r="AL65" s="814">
        <f>COUNTIFS('RC and FUNDS FOR YOU'!G15:G4791,"&gt;=13",'RC and FUNDS FOR YOU'!G15:G4791,"&lt;=17",'RC and FUNDS FOR YOU'!I15:I4791,"White / Caucasian ",'RC and FUNDS FOR YOU'!H15:H4791,"Male",'RC and FUNDS FOR YOU'!W15:W4791,"YES")</f>
        <v>0</v>
      </c>
      <c r="AM65" s="815"/>
      <c r="AN65" s="827">
        <f>COUNTIFS('RC and FUNDS FOR YOU'!G15:G4791,"&gt;=13",'RC and FUNDS FOR YOU'!G15:G4791,"&lt;=17",'RC and FUNDS FOR YOU'!I15:I4791,"White / Caucasian ",'RC and FUNDS FOR YOU'!H15:H4791,"Female",'RC and FUNDS FOR YOU'!W15:W4791,"YES")</f>
        <v>0</v>
      </c>
      <c r="AO65" s="828"/>
      <c r="AP65" s="814">
        <f>COUNTIFS('RC and FUNDS FOR YOU'!G15:G4791,"&gt;=13",'RC and FUNDS FOR YOU'!G15:G4791,"&lt;=17",'RC and FUNDS FOR YOU'!I15:I4791,"African American /Black",'RC and FUNDS FOR YOU'!H15:H4791,"Male",'RC and FUNDS FOR YOU'!W15:W4791,"YES")</f>
        <v>0</v>
      </c>
      <c r="AQ65" s="815"/>
      <c r="AR65" s="827">
        <f>COUNTIFS('RC and FUNDS FOR YOU'!G15:G4791,"&gt;=13",'RC and FUNDS FOR YOU'!G15:G4791,"&lt;=17",'RC and FUNDS FOR YOU'!I15:I4791,"African American /Black",'RC and FUNDS FOR YOU'!H15:H4791,"Female",'RC and FUNDS FOR YOU'!W15:W4791,"YES")</f>
        <v>0</v>
      </c>
      <c r="AS65" s="828"/>
      <c r="AT65" s="833">
        <f>COUNTIFS('RC and FUNDS FOR YOU'!G15:G4791,"&gt;=13",'RC and FUNDS FOR YOU'!G15:G4791,"&lt;=17",'RC and FUNDS FOR YOU'!I15:I4791,"Native Hawaiian/Pacific Islander",'RC and FUNDS FOR YOU'!H15:H4791,"Male",'RC and FUNDS FOR YOU'!W15:W4791,"YES")</f>
        <v>0</v>
      </c>
      <c r="AU65" s="834"/>
      <c r="AV65" s="827">
        <f>COUNTIFS('RC and FUNDS FOR YOU'!G15:G4791,"&gt;=13",'RC and FUNDS FOR YOU'!G15:G4791,"&lt;=17",'RC and FUNDS FOR YOU'!I15:I4791,"Native Hawaiian/Pacific Islander",'RC and FUNDS FOR YOU'!H15:H4791,"Female",'RC and FUNDS FOR YOU'!W15:W4791,"YES")</f>
        <v>0</v>
      </c>
      <c r="AW65" s="828"/>
      <c r="AX65" s="833">
        <f>COUNTIFS('RC and FUNDS FOR YOU'!G15:G4791,"&gt;=13",'RC and FUNDS FOR YOU'!G15:G4791,"&lt;=17",'RC and FUNDS FOR YOU'!I15:I4791,"Asian",'RC and FUNDS FOR YOU'!H15:H4791,"Male",'RC and FUNDS FOR YOU'!W15:W4791,"YES")</f>
        <v>0</v>
      </c>
      <c r="AY65" s="834"/>
      <c r="AZ65" s="827">
        <f>COUNTIFS('RC and FUNDS FOR YOU'!G15:G4791,"&gt;=13",'RC and FUNDS FOR YOU'!G15:G4791,"&lt;=17",'RC and FUNDS FOR YOU'!I15:I4791,"Asian",'RC and FUNDS FOR YOU'!H15:H4791,"Female",'RC and FUNDS FOR YOU'!W15:W4791,"YES")</f>
        <v>0</v>
      </c>
      <c r="BA65" s="828"/>
      <c r="BB65" s="814">
        <f>COUNTIFS('RC and FUNDS FOR YOU'!G15:G4791,"&gt;=13",'RC and FUNDS FOR YOU'!G15:G4791,"&lt;=17",'RC and FUNDS FOR YOU'!I15:I4791,"American Indian  / Alaska Native",'RC and FUNDS FOR YOU'!H15:H4791,"Male",'RC and FUNDS FOR YOU'!W15:W4791,"YES")</f>
        <v>0</v>
      </c>
      <c r="BC65" s="815"/>
      <c r="BD65" s="827">
        <f>COUNTIFS('RC and FUNDS FOR YOU'!G15:G4791,"&gt;=13",'RC and FUNDS FOR YOU'!G15:G4791,"&lt;=17",'RC and FUNDS FOR YOU'!I15:I4791,"American Indian  / Alaska Native",'RC and FUNDS FOR YOU'!H15:H4791,"Female",'RC and FUNDS FOR YOU'!W15:W4791,"YES")</f>
        <v>0</v>
      </c>
      <c r="BE65" s="828"/>
      <c r="BF65" s="814">
        <f>COUNTIFS('RC and FUNDS FOR YOU'!G15:G4791,"&gt;=13",'RC and FUNDS FOR YOU'!G15:G4791,"&lt;=17",'RC and FUNDS FOR YOU'!I15:I4791,"More than one race reported",'RC and FUNDS FOR YOU'!H15:H4791,"Male",'RC and FUNDS FOR YOU'!W15:W4791,"YES")</f>
        <v>0</v>
      </c>
      <c r="BG65" s="815"/>
      <c r="BH65" s="827">
        <f>COUNTIFS('RC and FUNDS FOR YOU'!G15:G4791,"&gt;=13",'RC and FUNDS FOR YOU'!G15:G4791,"&lt;=17",'RC and FUNDS FOR YOU'!I15:I4791,"More than one race reported",'RC and FUNDS FOR YOU'!H15:H4791,"Female",'RC and FUNDS FOR YOU'!W15:W4791,"YES")</f>
        <v>0</v>
      </c>
      <c r="BI65" s="828"/>
      <c r="BJ65" s="833">
        <f>COUNTIFS('RC and FUNDS FOR YOU'!G15:G4791,"&gt;=13",'RC and FUNDS FOR YOU'!G15:G4791,"&lt;=17",'RC and FUNDS FOR YOU'!I15:I4791,"Unknown",'RC and FUNDS FOR YOU'!H15:H4791,"Male",'RC and FUNDS FOR YOU'!W15:W4791,"YES")</f>
        <v>0</v>
      </c>
      <c r="BK65" s="834"/>
      <c r="BL65" s="827">
        <f>COUNTIFS('RC and FUNDS FOR YOU'!G15:G4791,"&gt;=13",'RC and FUNDS FOR YOU'!G15:G4791,"&lt;=17",'RC and FUNDS FOR YOU'!I15:I4791,"Unknown",'RC and FUNDS FOR YOU'!H15:H4791,"Female",'RC and FUNDS FOR YOU'!W15:W4791,"YES")</f>
        <v>0</v>
      </c>
      <c r="BM65" s="828"/>
      <c r="BN65" s="829">
        <f t="shared" si="12"/>
        <v>0</v>
      </c>
      <c r="BO65" s="830"/>
      <c r="BP65" s="829">
        <f t="shared" si="13"/>
        <v>0</v>
      </c>
      <c r="BQ65" s="830"/>
      <c r="BR65" s="13"/>
      <c r="BS65" s="869">
        <f>COUNTIFS('RC and FUNDS FOR YOU'!G15:G4791,"&gt;=13",'RC and FUNDS FOR YOU'!G15:G4791,"&lt;=17",'RC and FUNDS FOR YOU'!J15:J4791,"Not Hispanic or Latino",'RC and FUNDS FOR YOU'!H15:H4791,"Male",'RC and FUNDS FOR YOU'!W15:W4791,"YES")</f>
        <v>0</v>
      </c>
      <c r="BT65" s="870"/>
      <c r="BU65" s="865">
        <f>COUNTIFS('RC and FUNDS FOR YOU'!G15:G4791,"&gt;=13",'RC and FUNDS FOR YOU'!G15:G4791,"&lt;=17",'RC and FUNDS FOR YOU'!J15:J4791,"Not Hispanic or Latino",'RC and FUNDS FOR YOU'!H15:H4791,"Female",'RC and FUNDS FOR YOU'!W15:W4791,"YES")</f>
        <v>0</v>
      </c>
      <c r="BV65" s="866"/>
      <c r="BW65" s="869">
        <f>COUNTIFS('RC and FUNDS FOR YOU'!G15:G4791,"&gt;=13",'RC and FUNDS FOR YOU'!G15:G4791,"&lt;=17",'RC and FUNDS FOR YOU'!J15:J4791,"Hispanic-Latino ",'RC and FUNDS FOR YOU'!H15:H4791,"Male",'RC and FUNDS FOR YOU'!W15:W4791,"YES")</f>
        <v>0</v>
      </c>
      <c r="BX65" s="870"/>
      <c r="BY65" s="865">
        <f>COUNTIFS('RC and FUNDS FOR YOU'!G15:G4791,"&gt;=13",'RC and FUNDS FOR YOU'!G15:G4791,"&lt;=17",'RC and FUNDS FOR YOU'!J15:J4791,"Hispanic-Latino ",'RC and FUNDS FOR YOU'!H15:H4791,"Female",'RC and FUNDS FOR YOU'!W15:W4791,"YES")</f>
        <v>0</v>
      </c>
      <c r="BZ65" s="866"/>
      <c r="CA65" s="869">
        <f>COUNTIFS('RC and FUNDS FOR YOU'!G15:G4791,"&gt;=13",'RC and FUNDS FOR YOU'!G15:G4791,"&lt;=17",'RC and FUNDS FOR YOU'!J15:J4791,"Unknown",'RC and FUNDS FOR YOU'!H15:H4791,"Male",'RC and FUNDS FOR YOU'!W15:W4791,"YES")</f>
        <v>0</v>
      </c>
      <c r="CB65" s="870"/>
      <c r="CC65" s="865">
        <f>COUNTIFS('RC and FUNDS FOR YOU'!G15:G4791,"&gt;=13",'RC and FUNDS FOR YOU'!G15:G4791,"&lt;=17",'RC and FUNDS FOR YOU'!J15:J4791,"Unknown",'RC and FUNDS FOR YOU'!H15:H4791,"Female",'RC and FUNDS FOR YOU'!W15:W4791,"YES")</f>
        <v>0</v>
      </c>
      <c r="CD65" s="866"/>
      <c r="CE65" s="867">
        <f t="shared" si="14"/>
        <v>0</v>
      </c>
      <c r="CF65" s="868"/>
      <c r="CG65" s="867">
        <f t="shared" si="15"/>
        <v>0</v>
      </c>
      <c r="CH65" s="868"/>
    </row>
    <row r="66" spans="1:137" ht="20.100000000000001" customHeight="1" x14ac:dyDescent="0.25">
      <c r="A66" s="27">
        <f t="shared" si="11"/>
        <v>3</v>
      </c>
      <c r="B66" s="691" t="s">
        <v>390</v>
      </c>
      <c r="C66" s="691"/>
      <c r="D66" s="691"/>
      <c r="E66" s="691"/>
      <c r="F66" s="691"/>
      <c r="G66" s="692">
        <f>COUNTIFS('RC and FUNDS FOR YOU'!F15:F4718,"Boone",'RC and FUNDS FOR YOU'!W15:W4718,"YES")</f>
        <v>0</v>
      </c>
      <c r="H66" s="692"/>
      <c r="I66" s="692"/>
      <c r="J66" s="692"/>
      <c r="K66" s="692"/>
      <c r="L66" s="692"/>
      <c r="M66" s="27">
        <f t="shared" si="16"/>
        <v>45</v>
      </c>
      <c r="N66" s="691" t="s">
        <v>391</v>
      </c>
      <c r="O66" s="691"/>
      <c r="P66" s="691"/>
      <c r="Q66" s="691"/>
      <c r="R66" s="691"/>
      <c r="S66" s="692">
        <f>COUNTIFS('RC and FUNDS FOR YOU'!F15:F4718,"Monongalia",'RC and FUNDS FOR YOU'!W15:W4718,"YES")</f>
        <v>0</v>
      </c>
      <c r="T66" s="692"/>
      <c r="U66" s="692"/>
      <c r="V66" s="692"/>
      <c r="W66" s="692"/>
      <c r="X66" s="692"/>
      <c r="Y66" s="15"/>
      <c r="Z66" s="15"/>
      <c r="AA66" s="15"/>
      <c r="AB66" s="731" t="s">
        <v>392</v>
      </c>
      <c r="AC66" s="731"/>
      <c r="AD66" s="731"/>
      <c r="AE66" s="731"/>
      <c r="AF66" s="731"/>
      <c r="AG66" s="731"/>
      <c r="AH66" s="731"/>
      <c r="AI66" s="731"/>
      <c r="AJ66" s="731"/>
      <c r="AK66" s="731"/>
      <c r="AL66" s="814">
        <f>COUNTIFS('RC and FUNDS FOR YOU'!G15:G4791,"&gt;=18",'RC and FUNDS FOR YOU'!G15:G4791,"&lt;=20",'RC and FUNDS FOR YOU'!I15:I4791,"White / Caucasian ",'RC and FUNDS FOR YOU'!H15:H4791,"Male",'RC and FUNDS FOR YOU'!W15:W4791,"YES")</f>
        <v>0</v>
      </c>
      <c r="AM66" s="815"/>
      <c r="AN66" s="827">
        <f>COUNTIFS('RC and FUNDS FOR YOU'!G15:G4791,"&gt;=18",'RC and FUNDS FOR YOU'!G15:G4791,"&lt;=20",'RC and FUNDS FOR YOU'!I15:I4791,"White / Caucasian ",'RC and FUNDS FOR YOU'!H15:H4791,"Female",'RC and FUNDS FOR YOU'!W15:W4791,"YES")</f>
        <v>0</v>
      </c>
      <c r="AO66" s="828"/>
      <c r="AP66" s="814">
        <f>COUNTIFS('RC and FUNDS FOR YOU'!G15:G4791,"&gt;=18",'RC and FUNDS FOR YOU'!G15:G4791,"&lt;=20",'RC and FUNDS FOR YOU'!I15:I4791,"African American /Black",'RC and FUNDS FOR YOU'!H15:H4791,"Male",'RC and FUNDS FOR YOU'!W15:W4791,"YES")</f>
        <v>0</v>
      </c>
      <c r="AQ66" s="815"/>
      <c r="AR66" s="827">
        <f>COUNTIFS('RC and FUNDS FOR YOU'!G15:G4791,"&gt;=18",'RC and FUNDS FOR YOU'!G15:G4791,"&lt;=20",'RC and FUNDS FOR YOU'!I15:I4791,"African American /Black",'RC and FUNDS FOR YOU'!H15:H4791,"Female",'RC and FUNDS FOR YOU'!W15:W4791,"YES")</f>
        <v>0</v>
      </c>
      <c r="AS66" s="828"/>
      <c r="AT66" s="833">
        <f>COUNTIFS('RC and FUNDS FOR YOU'!G15:G4791,"&gt;=18",'RC and FUNDS FOR YOU'!G15:G4791,"&lt;=20",'RC and FUNDS FOR YOU'!I15:I4791,"Native Hawaiian/Pacific Islander",'RC and FUNDS FOR YOU'!H15:H4791,"Male",'RC and FUNDS FOR YOU'!W15:W4791,"YES")</f>
        <v>0</v>
      </c>
      <c r="AU66" s="834"/>
      <c r="AV66" s="827">
        <f>COUNTIFS('RC and FUNDS FOR YOU'!G15:G4791,"&gt;=18",'RC and FUNDS FOR YOU'!G15:G4791,"&lt;=20",'RC and FUNDS FOR YOU'!I15:I4791,"Native Hawaiian/Pacific Islander",'RC and FUNDS FOR YOU'!H15:H4791,"Female",'RC and FUNDS FOR YOU'!W15:W4791,"YES")</f>
        <v>0</v>
      </c>
      <c r="AW66" s="828"/>
      <c r="AX66" s="833">
        <f>COUNTIFS('RC and FUNDS FOR YOU'!G15:G4791,"&gt;=18",'RC and FUNDS FOR YOU'!G15:G4791,"&lt;=20",'RC and FUNDS FOR YOU'!I15:I4791,"Asian",'RC and FUNDS FOR YOU'!H15:H4791,"Male",'RC and FUNDS FOR YOU'!W15:W4791,"YES")</f>
        <v>0</v>
      </c>
      <c r="AY66" s="834"/>
      <c r="AZ66" s="827">
        <f>COUNTIFS('RC and FUNDS FOR YOU'!G15:G4791,"&gt;=18",'RC and FUNDS FOR YOU'!G15:G4791,"&lt;=20",'RC and FUNDS FOR YOU'!I15:I4791,"Asian",'RC and FUNDS FOR YOU'!H15:H4791,"Female",'RC and FUNDS FOR YOU'!W15:W4791,"YES")</f>
        <v>0</v>
      </c>
      <c r="BA66" s="828"/>
      <c r="BB66" s="814">
        <f>COUNTIFS('RC and FUNDS FOR YOU'!G15:G4791,"&gt;=18",'RC and FUNDS FOR YOU'!G15:G4791,"&lt;=20",'RC and FUNDS FOR YOU'!I15:I4791,"American Indian  / Alaska Native",'RC and FUNDS FOR YOU'!H15:H4791,"Male",'RC and FUNDS FOR YOU'!W15:W4791,"YES")</f>
        <v>0</v>
      </c>
      <c r="BC66" s="815"/>
      <c r="BD66" s="827">
        <f>COUNTIFS('RC and FUNDS FOR YOU'!G15:G4791,"&gt;=18",'RC and FUNDS FOR YOU'!G15:G4791,"&lt;=20",'RC and FUNDS FOR YOU'!I15:I4791,"American Indian  / Alaska Native",'RC and FUNDS FOR YOU'!H15:H4791,"Female",'RC and FUNDS FOR YOU'!W15:W4791,"YES")</f>
        <v>0</v>
      </c>
      <c r="BE66" s="828"/>
      <c r="BF66" s="814">
        <f>COUNTIFS('RC and FUNDS FOR YOU'!G15:G4791,"&gt;=18",'RC and FUNDS FOR YOU'!G15:G4791,"&lt;=20",'RC and FUNDS FOR YOU'!I15:I4791,"More than one race reported",'RC and FUNDS FOR YOU'!H15:H4791,"Male",'RC and FUNDS FOR YOU'!W15:W4791,"YES")</f>
        <v>0</v>
      </c>
      <c r="BG66" s="815"/>
      <c r="BH66" s="827">
        <f>COUNTIFS('RC and FUNDS FOR YOU'!G15:G4791,"&gt;=18",'RC and FUNDS FOR YOU'!G15:G4791,"&lt;=20",'RC and FUNDS FOR YOU'!I15:I4791,"More than one race reported",'RC and FUNDS FOR YOU'!H15:H4791,"Female",'RC and FUNDS FOR YOU'!W15:W4791,"YES")</f>
        <v>0</v>
      </c>
      <c r="BI66" s="828"/>
      <c r="BJ66" s="833">
        <f>COUNTIFS('RC and FUNDS FOR YOU'!G15:G4791,"&gt;=18",'RC and FUNDS FOR YOU'!G15:G4791,"&lt;=20",'RC and FUNDS FOR YOU'!I15:I4791,"Unknown",'RC and FUNDS FOR YOU'!H15:H4791,"Male",'RC and FUNDS FOR YOU'!W15:W4791,"YES")</f>
        <v>0</v>
      </c>
      <c r="BK66" s="834"/>
      <c r="BL66" s="827">
        <f>COUNTIFS('RC and FUNDS FOR YOU'!G15:G4791,"&gt;=18",'RC and FUNDS FOR YOU'!G15:G4791,"&lt;=20",'RC and FUNDS FOR YOU'!I15:I4791,"Unknown",'RC and FUNDS FOR YOU'!H15:H4791,"Female",'RC and FUNDS FOR YOU'!W15:W4791,"YES")</f>
        <v>0</v>
      </c>
      <c r="BM66" s="828"/>
      <c r="BN66" s="829">
        <f t="shared" si="12"/>
        <v>0</v>
      </c>
      <c r="BO66" s="830"/>
      <c r="BP66" s="829">
        <f t="shared" si="13"/>
        <v>0</v>
      </c>
      <c r="BQ66" s="830"/>
      <c r="BR66" s="13"/>
      <c r="BS66" s="869">
        <f>COUNTIFS('RC and FUNDS FOR YOU'!G15:G4791,"&gt;=18",'RC and FUNDS FOR YOU'!G15:G4791,"&lt;=20",'RC and FUNDS FOR YOU'!J15:J4791,"Not Hispanic or Latino",'RC and FUNDS FOR YOU'!H15:H4791,"Male",'RC and FUNDS FOR YOU'!W15:W4791,"YES")</f>
        <v>0</v>
      </c>
      <c r="BT66" s="870"/>
      <c r="BU66" s="865">
        <f>COUNTIFS('RC and FUNDS FOR YOU'!G15:G4791,"&gt;=18",'RC and FUNDS FOR YOU'!G15:G4791,"&lt;=20",'RC and FUNDS FOR YOU'!J15:J4791,"Not Hispanic or Latino",'RC and FUNDS FOR YOU'!H15:H4791,"Female",'RC and FUNDS FOR YOU'!W15:W4791,"YES")</f>
        <v>0</v>
      </c>
      <c r="BV66" s="866"/>
      <c r="BW66" s="869">
        <f>COUNTIFS('RC and FUNDS FOR YOU'!G15:G4791,"&gt;=18",'RC and FUNDS FOR YOU'!G15:G4791,"&lt;=20",'RC and FUNDS FOR YOU'!J15:J4791,"Hispanic-Latino ",'RC and FUNDS FOR YOU'!H15:H4791,"Male",'RC and FUNDS FOR YOU'!W15:W4791,"YES")</f>
        <v>0</v>
      </c>
      <c r="BX66" s="870"/>
      <c r="BY66" s="865">
        <f>COUNTIFS('RC and FUNDS FOR YOU'!G15:G4791,"&gt;=18",'RC and FUNDS FOR YOU'!G15:G4791,"&lt;=20",'RC and FUNDS FOR YOU'!J15:J4791,"Hispanic-Latino ",'RC and FUNDS FOR YOU'!H15:H4791,"Female",'RC and FUNDS FOR YOU'!W15:W4791,"YES")</f>
        <v>0</v>
      </c>
      <c r="BZ66" s="866"/>
      <c r="CA66" s="869">
        <f>COUNTIFS('RC and FUNDS FOR YOU'!G15:G4791,"&gt;=18",'RC and FUNDS FOR YOU'!G15:G4791,"&lt;=20",'RC and FUNDS FOR YOU'!J15:J4791,"Unknown",'RC and FUNDS FOR YOU'!H15:H4791,"Male",'RC and FUNDS FOR YOU'!W15:W4791,"YES")</f>
        <v>0</v>
      </c>
      <c r="CB66" s="870"/>
      <c r="CC66" s="865">
        <f>COUNTIFS('RC and FUNDS FOR YOU'!G15:G4791,"&gt;=18",'RC and FUNDS FOR YOU'!G15:G4791,"&lt;=20",'RC and FUNDS FOR YOU'!J15:J4791,"Unknown",'RC and FUNDS FOR YOU'!H15:H4791,"Female",'RC and FUNDS FOR YOU'!W15:W4791,"YES")</f>
        <v>0</v>
      </c>
      <c r="CD66" s="866"/>
      <c r="CE66" s="867">
        <f t="shared" si="14"/>
        <v>0</v>
      </c>
      <c r="CF66" s="868"/>
      <c r="CG66" s="867">
        <f t="shared" si="15"/>
        <v>0</v>
      </c>
      <c r="CH66" s="868"/>
    </row>
    <row r="67" spans="1:137" ht="20.100000000000001" customHeight="1" x14ac:dyDescent="0.25">
      <c r="A67" s="27">
        <f t="shared" si="11"/>
        <v>4</v>
      </c>
      <c r="B67" s="691" t="s">
        <v>393</v>
      </c>
      <c r="C67" s="691"/>
      <c r="D67" s="691"/>
      <c r="E67" s="691"/>
      <c r="F67" s="691"/>
      <c r="G67" s="692">
        <f>COUNTIFS('RC and FUNDS FOR YOU'!F15:F4718,"Braxton",'RC and FUNDS FOR YOU'!W15:W4718,"YES")</f>
        <v>0</v>
      </c>
      <c r="H67" s="692"/>
      <c r="I67" s="692"/>
      <c r="J67" s="692"/>
      <c r="K67" s="692"/>
      <c r="L67" s="692"/>
      <c r="M67" s="27">
        <f t="shared" si="16"/>
        <v>46</v>
      </c>
      <c r="N67" s="691" t="s">
        <v>394</v>
      </c>
      <c r="O67" s="691"/>
      <c r="P67" s="691"/>
      <c r="Q67" s="691"/>
      <c r="R67" s="691"/>
      <c r="S67" s="692">
        <f>COUNTIFS('RC and FUNDS FOR YOU'!F15:F4718,"Monroe",'RC and FUNDS FOR YOU'!W15:W4718,"YES")</f>
        <v>0</v>
      </c>
      <c r="T67" s="692"/>
      <c r="U67" s="692"/>
      <c r="V67" s="692"/>
      <c r="W67" s="692"/>
      <c r="X67" s="692"/>
      <c r="Y67" s="15"/>
      <c r="Z67" s="15"/>
      <c r="AA67" s="15"/>
      <c r="AB67" s="731" t="s">
        <v>395</v>
      </c>
      <c r="AC67" s="731"/>
      <c r="AD67" s="731"/>
      <c r="AE67" s="731"/>
      <c r="AF67" s="731"/>
      <c r="AG67" s="731"/>
      <c r="AH67" s="731"/>
      <c r="AI67" s="731"/>
      <c r="AJ67" s="731"/>
      <c r="AK67" s="731"/>
      <c r="AL67" s="814">
        <f>COUNTIFS('RC and FUNDS FOR YOU'!G15:G4791,"&gt;=21",'RC and FUNDS FOR YOU'!G15:G4791,"&lt;=24",'RC and FUNDS FOR YOU'!I15:I4791,"White / Caucasian ",'RC and FUNDS FOR YOU'!H15:H4791,"Male",'RC and FUNDS FOR YOU'!W15:W4791,"YES")</f>
        <v>0</v>
      </c>
      <c r="AM67" s="815"/>
      <c r="AN67" s="827">
        <f>COUNTIFS('RC and FUNDS FOR YOU'!G15:G4791,"&gt;=21",'RC and FUNDS FOR YOU'!G15:G4791,"&lt;=24",'RC and FUNDS FOR YOU'!I15:I4791,"White / Caucasian ",'RC and FUNDS FOR YOU'!H15:H4791,"Female",'RC and FUNDS FOR YOU'!W15:W4791,"YES")</f>
        <v>0</v>
      </c>
      <c r="AO67" s="828"/>
      <c r="AP67" s="814">
        <f>COUNTIFS('RC and FUNDS FOR YOU'!G15:G4791,"&gt;=21",'RC and FUNDS FOR YOU'!G15:G4791,"&lt;=24",'RC and FUNDS FOR YOU'!I15:I4791,"African American /Black",'RC and FUNDS FOR YOU'!H15:H4791,"Male",'RC and FUNDS FOR YOU'!W15:W4791,"YES")</f>
        <v>0</v>
      </c>
      <c r="AQ67" s="815"/>
      <c r="AR67" s="827">
        <f>COUNTIFS('RC and FUNDS FOR YOU'!G15:G4791,"&gt;=21",'RC and FUNDS FOR YOU'!G15:G4791,"&lt;=24",'RC and FUNDS FOR YOU'!I15:I4791,"African American /Black",'RC and FUNDS FOR YOU'!H15:H4791,"Female",'RC and FUNDS FOR YOU'!W15:W4791,"YES")</f>
        <v>0</v>
      </c>
      <c r="AS67" s="828"/>
      <c r="AT67" s="833">
        <f>COUNTIFS('RC and FUNDS FOR YOU'!G15:G4791,"&gt;=21",'RC and FUNDS FOR YOU'!G15:G4791,"&lt;=24",'RC and FUNDS FOR YOU'!I15:I4791,"Native Hawaiian/Pacific Islander",'RC and FUNDS FOR YOU'!H15:H4791,"Male",'RC and FUNDS FOR YOU'!W15:W4791,"YES")</f>
        <v>0</v>
      </c>
      <c r="AU67" s="834"/>
      <c r="AV67" s="827">
        <f>COUNTIFS('RC and FUNDS FOR YOU'!G15:G4791,"&gt;=21",'RC and FUNDS FOR YOU'!G15:G4791,"&lt;=24",'RC and FUNDS FOR YOU'!I15:I4791,"Native Hawaiian/Pacific Islander",'RC and FUNDS FOR YOU'!H15:H4791,"Female",'RC and FUNDS FOR YOU'!W15:W4791,"YES")</f>
        <v>0</v>
      </c>
      <c r="AW67" s="828"/>
      <c r="AX67" s="833">
        <f>COUNTIFS('RC and FUNDS FOR YOU'!G15:G4791,"&gt;=21",'RC and FUNDS FOR YOU'!G15:G4791,"&lt;=24",'RC and FUNDS FOR YOU'!I15:I4791,"Asian",'RC and FUNDS FOR YOU'!H15:H4791,"Male",'RC and FUNDS FOR YOU'!W15:W4791,"YES")</f>
        <v>0</v>
      </c>
      <c r="AY67" s="834"/>
      <c r="AZ67" s="827">
        <f>COUNTIFS('RC and FUNDS FOR YOU'!G15:G4791,"&gt;=21",'RC and FUNDS FOR YOU'!G15:G4791,"&lt;=24",'RC and FUNDS FOR YOU'!I15:I4791,"Asian",'RC and FUNDS FOR YOU'!H15:H4791,"Female",'RC and FUNDS FOR YOU'!W15:W4791,"YES")</f>
        <v>0</v>
      </c>
      <c r="BA67" s="828"/>
      <c r="BB67" s="814">
        <f>COUNTIFS('RC and FUNDS FOR YOU'!G15:G4791,"&gt;=21",'RC and FUNDS FOR YOU'!G15:G4791,"&lt;=24",'RC and FUNDS FOR YOU'!I15:I4791,"American Indian  / Alaska Native",'RC and FUNDS FOR YOU'!H15:H4791,"Male",'RC and FUNDS FOR YOU'!W15:W4791,"YES")</f>
        <v>0</v>
      </c>
      <c r="BC67" s="815"/>
      <c r="BD67" s="827">
        <f>COUNTIFS('RC and FUNDS FOR YOU'!G15:G4791,"&gt;=21",'RC and FUNDS FOR YOU'!G15:G4791,"&lt;=24",'RC and FUNDS FOR YOU'!I15:I4791,"American Indian  / Alaska Native",'RC and FUNDS FOR YOU'!H15:H4791,"Female",'RC and FUNDS FOR YOU'!W15:W4791,"YES")</f>
        <v>0</v>
      </c>
      <c r="BE67" s="828"/>
      <c r="BF67" s="814">
        <f>COUNTIFS('RC and FUNDS FOR YOU'!G15:G4791,"&gt;=21",'RC and FUNDS FOR YOU'!G15:G4791,"&lt;=24",'RC and FUNDS FOR YOU'!I15:I4791,"More than one race reported",'RC and FUNDS FOR YOU'!H15:H4791,"Male",'RC and FUNDS FOR YOU'!W15:W4791,"YES")</f>
        <v>0</v>
      </c>
      <c r="BG67" s="815"/>
      <c r="BH67" s="827">
        <f>COUNTIFS('RC and FUNDS FOR YOU'!G15:G4791,"&gt;=21",'RC and FUNDS FOR YOU'!G15:G4791,"&lt;=24",'RC and FUNDS FOR YOU'!I15:I4791,"More than one race reported",'RC and FUNDS FOR YOU'!H15:H4791,"Female",'RC and FUNDS FOR YOU'!W15:W4791,"YES")</f>
        <v>0</v>
      </c>
      <c r="BI67" s="828"/>
      <c r="BJ67" s="833">
        <f>COUNTIFS('RC and FUNDS FOR YOU'!G15:G4791,"&gt;=21",'RC and FUNDS FOR YOU'!G15:G4791,"&lt;=24",'RC and FUNDS FOR YOU'!I15:I4791,"Unknown",'RC and FUNDS FOR YOU'!H15:H4791,"Male",'RC and FUNDS FOR YOU'!W15:W4791,"YES")</f>
        <v>0</v>
      </c>
      <c r="BK67" s="834"/>
      <c r="BL67" s="827">
        <f>COUNTIFS('RC and FUNDS FOR YOU'!G15:G4791,"&gt;=21",'RC and FUNDS FOR YOU'!G15:G4791,"&lt;=24",'RC and FUNDS FOR YOU'!I15:I4791,"Unknown",'RC and FUNDS FOR YOU'!H15:H4791,"Female",'RC and FUNDS FOR YOU'!W15:W4791,"YES")</f>
        <v>0</v>
      </c>
      <c r="BM67" s="828"/>
      <c r="BN67" s="829">
        <f t="shared" si="12"/>
        <v>0</v>
      </c>
      <c r="BO67" s="830"/>
      <c r="BP67" s="829">
        <f t="shared" si="13"/>
        <v>0</v>
      </c>
      <c r="BQ67" s="830"/>
      <c r="BR67" s="13"/>
      <c r="BS67" s="869">
        <f>COUNTIFS('RC and FUNDS FOR YOU'!G15:G4791,"&gt;=21",'RC and FUNDS FOR YOU'!G15:G4791,"&lt;=24",'RC and FUNDS FOR YOU'!J15:J4791,"Not Hispanic or Latino",'RC and FUNDS FOR YOU'!H15:H4791,"Male",'RC and FUNDS FOR YOU'!W15:W4791,"YES")</f>
        <v>0</v>
      </c>
      <c r="BT67" s="870"/>
      <c r="BU67" s="865">
        <f>COUNTIFS('RC and FUNDS FOR YOU'!G15:G4791,"&gt;=21",'RC and FUNDS FOR YOU'!G15:G4791,"&lt;=24",'RC and FUNDS FOR YOU'!J15:J4791,"Not Hispanic or Latino",'RC and FUNDS FOR YOU'!H15:H4791,"Female",'RC and FUNDS FOR YOU'!W15:W4791,"YES")</f>
        <v>0</v>
      </c>
      <c r="BV67" s="866"/>
      <c r="BW67" s="869">
        <f>COUNTIFS('RC and FUNDS FOR YOU'!G15:G4791,"&gt;=21",'RC and FUNDS FOR YOU'!G15:G4791,"&lt;=24",'RC and FUNDS FOR YOU'!J15:J4791,"Hispanic-Latino ",'RC and FUNDS FOR YOU'!H15:H4791,"Male",'RC and FUNDS FOR YOU'!W15:W4791,"YES")</f>
        <v>0</v>
      </c>
      <c r="BX67" s="870"/>
      <c r="BY67" s="865">
        <f>COUNTIFS('RC and FUNDS FOR YOU'!G15:G4791,"&gt;=21",'RC and FUNDS FOR YOU'!G15:G4791,"&lt;=24",'RC and FUNDS FOR YOU'!J15:J4791,"Hispanic-Latino ",'RC and FUNDS FOR YOU'!H15:H4791,"Female",'RC and FUNDS FOR YOU'!W15:W4791,"YES")</f>
        <v>0</v>
      </c>
      <c r="BZ67" s="866"/>
      <c r="CA67" s="869">
        <f>COUNTIFS('RC and FUNDS FOR YOU'!G15:G4791,"&gt;=21",'RC and FUNDS FOR YOU'!G15:G4791,"&lt;=24",'RC and FUNDS FOR YOU'!J15:J4791,"UnknownNot Hispanic or Latino",'RC and FUNDS FOR YOU'!H15:H4791,"Male",'RC and FUNDS FOR YOU'!W15:W4791,"YES")</f>
        <v>0</v>
      </c>
      <c r="CB67" s="870"/>
      <c r="CC67" s="865">
        <f>COUNTIFS('RC and FUNDS FOR YOU'!G15:G4791,"&gt;=21",'RC and FUNDS FOR YOU'!G15:G4791,"&lt;=24",'RC and FUNDS FOR YOU'!J15:J4791,"Unknown",'RC and FUNDS FOR YOU'!H15:H4791,"Female",'RC and FUNDS FOR YOU'!W15:W4791,"YES")</f>
        <v>0</v>
      </c>
      <c r="CD67" s="866"/>
      <c r="CE67" s="867">
        <f t="shared" si="14"/>
        <v>0</v>
      </c>
      <c r="CF67" s="868"/>
      <c r="CG67" s="867">
        <f t="shared" si="15"/>
        <v>0</v>
      </c>
      <c r="CH67" s="868"/>
    </row>
    <row r="68" spans="1:137" ht="20.100000000000001" customHeight="1" x14ac:dyDescent="0.25">
      <c r="A68" s="27">
        <f t="shared" si="11"/>
        <v>5</v>
      </c>
      <c r="B68" s="404" t="s">
        <v>396</v>
      </c>
      <c r="C68" s="404"/>
      <c r="D68" s="404"/>
      <c r="E68" s="404"/>
      <c r="F68" s="404"/>
      <c r="G68" s="692">
        <f>COUNTIFS('RC and FUNDS FOR YOU'!F15:F4718,"Brooke",'RC and FUNDS FOR YOU'!W15:W4718,"YES")</f>
        <v>0</v>
      </c>
      <c r="H68" s="692"/>
      <c r="I68" s="692"/>
      <c r="J68" s="692"/>
      <c r="K68" s="692"/>
      <c r="L68" s="692"/>
      <c r="M68" s="27">
        <f t="shared" si="16"/>
        <v>47</v>
      </c>
      <c r="N68" s="691" t="s">
        <v>397</v>
      </c>
      <c r="O68" s="691"/>
      <c r="P68" s="691"/>
      <c r="Q68" s="691"/>
      <c r="R68" s="691"/>
      <c r="S68" s="692">
        <f>COUNTIFS('RC and FUNDS FOR YOU'!F15:F4718,"Morgan",'RC and FUNDS FOR YOU'!W15:W4718,"YES")</f>
        <v>0</v>
      </c>
      <c r="T68" s="692"/>
      <c r="U68" s="692"/>
      <c r="V68" s="692"/>
      <c r="W68" s="692"/>
      <c r="X68" s="692"/>
      <c r="Y68" s="15"/>
      <c r="Z68" s="15"/>
      <c r="AA68" s="15"/>
      <c r="AB68" s="731" t="s">
        <v>398</v>
      </c>
      <c r="AC68" s="731"/>
      <c r="AD68" s="731"/>
      <c r="AE68" s="731"/>
      <c r="AF68" s="731"/>
      <c r="AG68" s="731"/>
      <c r="AH68" s="731"/>
      <c r="AI68" s="731"/>
      <c r="AJ68" s="731"/>
      <c r="AK68" s="731"/>
      <c r="AL68" s="814">
        <f>COUNTIFS('RC and FUNDS FOR YOU'!G15:G4791,"&gt;=25",'RC and FUNDS FOR YOU'!G15:G4791,"&lt;=44",'RC and FUNDS FOR YOU'!I15:I4791,"White / Caucasian ",'RC and FUNDS FOR YOU'!H15:H4791,"Male",'RC and FUNDS FOR YOU'!W15:W4791,"YES")</f>
        <v>0</v>
      </c>
      <c r="AM68" s="815"/>
      <c r="AN68" s="827">
        <f>COUNTIFS('RC and FUNDS FOR YOU'!G15:G4791,"&gt;=25",'RC and FUNDS FOR YOU'!G15:G4791,"&lt;=44",'RC and FUNDS FOR YOU'!I15:I4791,"White / Caucasian ",'RC and FUNDS FOR YOU'!H15:H4791,"Female",'RC and FUNDS FOR YOU'!W15:W4791,"YES")</f>
        <v>0</v>
      </c>
      <c r="AO68" s="828"/>
      <c r="AP68" s="814">
        <f>COUNTIFS('RC and FUNDS FOR YOU'!G15:G4791,"&gt;=25",'RC and FUNDS FOR YOU'!G15:G4791,"&lt;=44",'RC and FUNDS FOR YOU'!I15:I4791,"African American /Black",'RC and FUNDS FOR YOU'!H15:H4791,"Male",'RC and FUNDS FOR YOU'!W15:W4791,"YES")</f>
        <v>0</v>
      </c>
      <c r="AQ68" s="815"/>
      <c r="AR68" s="827">
        <f>COUNTIFS('RC and FUNDS FOR YOU'!G15:G4791,"&gt;=25",'RC and FUNDS FOR YOU'!G15:G4791,"&lt;=44",'RC and FUNDS FOR YOU'!I15:I4791,"African American /Black",'RC and FUNDS FOR YOU'!H15:H4791,"Female",'RC and FUNDS FOR YOU'!W15:W4791,"YES")</f>
        <v>0</v>
      </c>
      <c r="AS68" s="828"/>
      <c r="AT68" s="833">
        <f>COUNTIFS('RC and FUNDS FOR YOU'!G15:G4791,"&gt;=25",'RC and FUNDS FOR YOU'!G15:G4791,"&lt;=44",'RC and FUNDS FOR YOU'!I15:I4791,"Native Hawaiian/Pacific Islander",'RC and FUNDS FOR YOU'!H15:H4791,"Male",'RC and FUNDS FOR YOU'!W15:W4791,"YES")</f>
        <v>0</v>
      </c>
      <c r="AU68" s="834"/>
      <c r="AV68" s="827">
        <f>COUNTIFS('RC and FUNDS FOR YOU'!G15:G4791,"&gt;=25",'RC and FUNDS FOR YOU'!G15:G4791,"&lt;=44",'RC and FUNDS FOR YOU'!I15:I4791,"Native Hawaiian/Pacific Islander",'RC and FUNDS FOR YOU'!H15:H4791,"Female",'RC and FUNDS FOR YOU'!W15:W4791,"YES")</f>
        <v>0</v>
      </c>
      <c r="AW68" s="828"/>
      <c r="AX68" s="833">
        <f>COUNTIFS('RC and FUNDS FOR YOU'!G15:G4791,"&gt;=25",'RC and FUNDS FOR YOU'!G15:G4791,"&lt;=44",'RC and FUNDS FOR YOU'!I15:I4791,"Asian",'RC and FUNDS FOR YOU'!H15:H4791,"Male",'RC and FUNDS FOR YOU'!W15:W4791,"YES")</f>
        <v>0</v>
      </c>
      <c r="AY68" s="834"/>
      <c r="AZ68" s="827">
        <f>COUNTIFS('RC and FUNDS FOR YOU'!G15:G4791,"&gt;=25",'RC and FUNDS FOR YOU'!G15:G4791,"&lt;=44",'RC and FUNDS FOR YOU'!I15:I4791,"Asian",'RC and FUNDS FOR YOU'!H15:H4791,"Female",'RC and FUNDS FOR YOU'!W15:W4791,"YES")</f>
        <v>0</v>
      </c>
      <c r="BA68" s="828"/>
      <c r="BB68" s="814">
        <f>COUNTIFS('RC and FUNDS FOR YOU'!G15:G4791,"&gt;=25",'RC and FUNDS FOR YOU'!G15:G4791,"&lt;=44",'RC and FUNDS FOR YOU'!I15:I4791,"American Indian  / Alaska Native",'RC and FUNDS FOR YOU'!H15:H4791,"Male",'RC and FUNDS FOR YOU'!W15:W4791,"YES")</f>
        <v>0</v>
      </c>
      <c r="BC68" s="815"/>
      <c r="BD68" s="827">
        <f>COUNTIFS('RC and FUNDS FOR YOU'!G15:G4791,"&gt;=25",'RC and FUNDS FOR YOU'!G15:G4791,"&lt;=44",'RC and FUNDS FOR YOU'!I15:I4791,"American Indian  / Alaska Native",'RC and FUNDS FOR YOU'!H15:H4791,"Female",'RC and FUNDS FOR YOU'!W15:W4791,"YES")</f>
        <v>0</v>
      </c>
      <c r="BE68" s="828"/>
      <c r="BF68" s="814">
        <f>COUNTIFS('RC and FUNDS FOR YOU'!G15:G4791,"&gt;=25",'RC and FUNDS FOR YOU'!G15:G4791,"&lt;=44",'RC and FUNDS FOR YOU'!I15:I4791,"More than one race reported",'RC and FUNDS FOR YOU'!H15:H4791,"Male",'RC and FUNDS FOR YOU'!W15:W4791,"YES")</f>
        <v>0</v>
      </c>
      <c r="BG68" s="815"/>
      <c r="BH68" s="827">
        <f>COUNTIFS('RC and FUNDS FOR YOU'!G15:G4791,"&gt;=25",'RC and FUNDS FOR YOU'!G15:G4791,"&lt;=44",'RC and FUNDS FOR YOU'!I15:I4791,"More than one race reported",'RC and FUNDS FOR YOU'!H15:H4791,"Female",'RC and FUNDS FOR YOU'!W15:W4791,"YES")</f>
        <v>0</v>
      </c>
      <c r="BI68" s="828"/>
      <c r="BJ68" s="833">
        <f>COUNTIFS('RC and FUNDS FOR YOU'!G15:G4791,"&gt;=25",'RC and FUNDS FOR YOU'!G15:G4791,"&lt;=44",'RC and FUNDS FOR YOU'!I15:I4791,"Unknown",'RC and FUNDS FOR YOU'!H15:H4791,"Male",'RC and FUNDS FOR YOU'!W15:W4791,"YES")</f>
        <v>0</v>
      </c>
      <c r="BK68" s="834"/>
      <c r="BL68" s="827">
        <f>COUNTIFS('RC and FUNDS FOR YOU'!G15:G4791,"&gt;=25",'RC and FUNDS FOR YOU'!G15:G4791,"&lt;=44",'RC and FUNDS FOR YOU'!I15:I4791,"Unknown",'RC and FUNDS FOR YOU'!H15:H4791,"Female",'RC and FUNDS FOR YOU'!W15:W4791,"YES")</f>
        <v>0</v>
      </c>
      <c r="BM68" s="828"/>
      <c r="BN68" s="829">
        <f t="shared" si="12"/>
        <v>0</v>
      </c>
      <c r="BO68" s="830"/>
      <c r="BP68" s="829">
        <f t="shared" si="13"/>
        <v>0</v>
      </c>
      <c r="BQ68" s="830"/>
      <c r="BR68" s="13"/>
      <c r="BS68" s="869">
        <f>COUNTIFS('RC and FUNDS FOR YOU'!G15:G4791,"&gt;=25",'RC and FUNDS FOR YOU'!G15:G4791,"&lt;=44",'RC and FUNDS FOR YOU'!J15:J4791,"Not Hispanic or Latino",'RC and FUNDS FOR YOU'!H15:H4791,"Male",'RC and FUNDS FOR YOU'!W15:W4791,"YES")</f>
        <v>0</v>
      </c>
      <c r="BT68" s="870"/>
      <c r="BU68" s="865">
        <f>COUNTIFS('RC and FUNDS FOR YOU'!G15:G4791,"&gt;=25",'RC and FUNDS FOR YOU'!G15:G4791,"&lt;=44",'RC and FUNDS FOR YOU'!J15:J4791,"Not Hispanic or Latino",'RC and FUNDS FOR YOU'!H15:H4791,"Female",'RC and FUNDS FOR YOU'!W15:W4791,"YES")</f>
        <v>0</v>
      </c>
      <c r="BV68" s="866"/>
      <c r="BW68" s="869">
        <f>COUNTIFS('RC and FUNDS FOR YOU'!G15:G4791,"&gt;=25",'RC and FUNDS FOR YOU'!G15:G4791,"&lt;=44",'RC and FUNDS FOR YOU'!J15:J4791,"Hispanic-Latino ",'RC and FUNDS FOR YOU'!H15:H4791,"Male",'RC and FUNDS FOR YOU'!W15:W4791,"YES")</f>
        <v>0</v>
      </c>
      <c r="BX68" s="870"/>
      <c r="BY68" s="865">
        <f>COUNTIFS('RC and FUNDS FOR YOU'!G15:G4791,"&gt;=25",'RC and FUNDS FOR YOU'!G15:G4791,"&lt;=44",'RC and FUNDS FOR YOU'!J15:J4791,"Hispanic-Latino ",'RC and FUNDS FOR YOU'!H15:H4791,"Female",'RC and FUNDS FOR YOU'!W15:W4791,"YES")</f>
        <v>0</v>
      </c>
      <c r="BZ68" s="866"/>
      <c r="CA68" s="869">
        <f>COUNTIFS('RC and FUNDS FOR YOU'!G15:G4791,"&gt;=25",'RC and FUNDS FOR YOU'!G15:G4791,"&lt;=44",'RC and FUNDS FOR YOU'!J15:J4791,"Unknown",'RC and FUNDS FOR YOU'!H15:H4791,"Male",'RC and FUNDS FOR YOU'!W15:W4791,"YES")</f>
        <v>0</v>
      </c>
      <c r="CB68" s="870"/>
      <c r="CC68" s="865">
        <f>COUNTIFS('RC and FUNDS FOR YOU'!G15:G4791,"&gt;=25",'RC and FUNDS FOR YOU'!G15:G4791,"&lt;=44",'RC and FUNDS FOR YOU'!J15:J4791,"Unknown",'RC and FUNDS FOR YOU'!H15:H4791,"Female",'RC and FUNDS FOR YOU'!W15:W4791,"YES")</f>
        <v>0</v>
      </c>
      <c r="CD68" s="866"/>
      <c r="CE68" s="867">
        <f t="shared" si="14"/>
        <v>0</v>
      </c>
      <c r="CF68" s="868"/>
      <c r="CG68" s="867">
        <f t="shared" si="15"/>
        <v>0</v>
      </c>
      <c r="CH68" s="868"/>
    </row>
    <row r="69" spans="1:137" ht="20.100000000000001" customHeight="1" x14ac:dyDescent="0.25">
      <c r="A69" s="27">
        <f t="shared" si="11"/>
        <v>6</v>
      </c>
      <c r="B69" s="691" t="s">
        <v>399</v>
      </c>
      <c r="C69" s="691"/>
      <c r="D69" s="691"/>
      <c r="E69" s="691"/>
      <c r="F69" s="691"/>
      <c r="G69" s="692">
        <f>COUNTIFS('RC and FUNDS FOR YOU'!F15:F4718,"Cabell",'RC and FUNDS FOR YOU'!W15:W4718,"YES")</f>
        <v>0</v>
      </c>
      <c r="H69" s="692"/>
      <c r="I69" s="692"/>
      <c r="J69" s="692"/>
      <c r="K69" s="692"/>
      <c r="L69" s="692"/>
      <c r="M69" s="27">
        <f t="shared" si="16"/>
        <v>48</v>
      </c>
      <c r="N69" s="691" t="s">
        <v>400</v>
      </c>
      <c r="O69" s="691"/>
      <c r="P69" s="691"/>
      <c r="Q69" s="691"/>
      <c r="R69" s="691"/>
      <c r="S69" s="692">
        <f>COUNTIFS('RC and FUNDS FOR YOU'!F15:F4718,"Nicholas",'RC and FUNDS FOR YOU'!W15:W4718,"YES")</f>
        <v>0</v>
      </c>
      <c r="T69" s="692"/>
      <c r="U69" s="692"/>
      <c r="V69" s="692"/>
      <c r="W69" s="692"/>
      <c r="X69" s="692"/>
      <c r="Y69" s="15"/>
      <c r="Z69" s="15"/>
      <c r="AA69" s="15"/>
      <c r="AB69" s="731" t="s">
        <v>401</v>
      </c>
      <c r="AC69" s="731"/>
      <c r="AD69" s="731"/>
      <c r="AE69" s="731"/>
      <c r="AF69" s="731"/>
      <c r="AG69" s="731"/>
      <c r="AH69" s="731"/>
      <c r="AI69" s="731"/>
      <c r="AJ69" s="731"/>
      <c r="AK69" s="731"/>
      <c r="AL69" s="814">
        <f>COUNTIFS('RC and FUNDS FOR YOU'!G15:G4791,"&gt;=45",'RC and FUNDS FOR YOU'!G15:G4791,"&lt;=64",'RC and FUNDS FOR YOU'!I15:I4791,"White / Caucasian ",'RC and FUNDS FOR YOU'!H15:H4791,"Male",'RC and FUNDS FOR YOU'!W15:W4791,"YES")</f>
        <v>0</v>
      </c>
      <c r="AM69" s="815"/>
      <c r="AN69" s="827">
        <f>COUNTIFS('RC and FUNDS FOR YOU'!G15:G4791,"&gt;=45",'RC and FUNDS FOR YOU'!G15:G4791,"&lt;=64",'RC and FUNDS FOR YOU'!I15:I4791,"White / Caucasian ",'RC and FUNDS FOR YOU'!H15:H4791,"Female",'RC and FUNDS FOR YOU'!W15:W4791,"YES")</f>
        <v>0</v>
      </c>
      <c r="AO69" s="828"/>
      <c r="AP69" s="814">
        <f>COUNTIFS('RC and FUNDS FOR YOU'!G15:G4791,"&gt;=45",'RC and FUNDS FOR YOU'!G15:G4791,"&lt;=64",'RC and FUNDS FOR YOU'!I15:I4791,"African American /Black",'RC and FUNDS FOR YOU'!H15:H4791,"Male",'RC and FUNDS FOR YOU'!W15:W4791,"YES")</f>
        <v>0</v>
      </c>
      <c r="AQ69" s="815"/>
      <c r="AR69" s="827">
        <f>COUNTIFS('RC and FUNDS FOR YOU'!G15:G4791,"&gt;=45",'RC and FUNDS FOR YOU'!G15:G4791,"&lt;=64",'RC and FUNDS FOR YOU'!I15:I4791,"African American /Black",'RC and FUNDS FOR YOU'!H15:H4791,"Female",'RC and FUNDS FOR YOU'!W15:W4791,"YES")</f>
        <v>0</v>
      </c>
      <c r="AS69" s="828"/>
      <c r="AT69" s="833">
        <f>COUNTIFS('RC and FUNDS FOR YOU'!G15:G4791,"&gt;=45",'RC and FUNDS FOR YOU'!G15:G4791,"&lt;=64",'RC and FUNDS FOR YOU'!I15:I4791,"Native Hawaiian/Pacific Islander",'RC and FUNDS FOR YOU'!H15:H4791,"Male",'RC and FUNDS FOR YOU'!W15:W4791,"YES")</f>
        <v>0</v>
      </c>
      <c r="AU69" s="834"/>
      <c r="AV69" s="827">
        <f>COUNTIFS('RC and FUNDS FOR YOU'!G15:G4791,"&gt;=45",'RC and FUNDS FOR YOU'!G15:G4791,"&lt;=64",'RC and FUNDS FOR YOU'!I15:I4791,"Native Hawaiian/Pacific Islander",'RC and FUNDS FOR YOU'!H15:H4791,"Female",'RC and FUNDS FOR YOU'!W15:W4791,"YES")</f>
        <v>0</v>
      </c>
      <c r="AW69" s="828"/>
      <c r="AX69" s="833">
        <f>COUNTIFS('RC and FUNDS FOR YOU'!G15:G4791,"&gt;=45",'RC and FUNDS FOR YOU'!G15:G4791,"&lt;=64",'RC and FUNDS FOR YOU'!I15:I4791,"Asian",'RC and FUNDS FOR YOU'!H15:H4791,"Male",'RC and FUNDS FOR YOU'!W15:W4791,"YES")</f>
        <v>0</v>
      </c>
      <c r="AY69" s="834"/>
      <c r="AZ69" s="827">
        <f>COUNTIFS('RC and FUNDS FOR YOU'!G15:G4791,"&gt;=45",'RC and FUNDS FOR YOU'!G15:G4791,"&lt;=64",'RC and FUNDS FOR YOU'!I15:I4791,"Asian",'RC and FUNDS FOR YOU'!H15:H4791,"Female",'RC and FUNDS FOR YOU'!W15:W4791,"YES")</f>
        <v>0</v>
      </c>
      <c r="BA69" s="828"/>
      <c r="BB69" s="814">
        <f>COUNTIFS('RC and FUNDS FOR YOU'!G15:G4791,"&gt;=45",'RC and FUNDS FOR YOU'!G15:G4791,"&lt;=64",'RC and FUNDS FOR YOU'!I15:I4791,"American Indian  / Alaska Native",'RC and FUNDS FOR YOU'!H15:H4791,"Male",'RC and FUNDS FOR YOU'!W15:W4791,"YES")</f>
        <v>0</v>
      </c>
      <c r="BC69" s="815"/>
      <c r="BD69" s="827">
        <f>COUNTIFS('RC and FUNDS FOR YOU'!G15:G4791,"&gt;=45",'RC and FUNDS FOR YOU'!G15:G4791,"&lt;=64",'RC and FUNDS FOR YOU'!I15:I4791,"American Indian  / Alaska Native",'RC and FUNDS FOR YOU'!H15:H4791,"Female",'RC and FUNDS FOR YOU'!W15:W4791,"YES")</f>
        <v>0</v>
      </c>
      <c r="BE69" s="828"/>
      <c r="BF69" s="814">
        <f>COUNTIFS('RC and FUNDS FOR YOU'!G15:G4791,"&gt;=45",'RC and FUNDS FOR YOU'!G15:G4791,"&lt;=64",'RC and FUNDS FOR YOU'!I15:I4791,"More than one race reported",'RC and FUNDS FOR YOU'!H15:H4791,"Male",'RC and FUNDS FOR YOU'!W15:W4791,"YES")</f>
        <v>0</v>
      </c>
      <c r="BG69" s="815"/>
      <c r="BH69" s="827">
        <f>COUNTIFS('RC and FUNDS FOR YOU'!G15:G4791,"&gt;=45",'RC and FUNDS FOR YOU'!G15:G4791,"&lt;=64",'RC and FUNDS FOR YOU'!I15:I4791,"More than one race reported",'RC and FUNDS FOR YOU'!H15:H4791,"Female",'RC and FUNDS FOR YOU'!W15:W4791,"YES")</f>
        <v>0</v>
      </c>
      <c r="BI69" s="828"/>
      <c r="BJ69" s="833">
        <f>COUNTIFS('RC and FUNDS FOR YOU'!G15:G4791,"&gt;=45",'RC and FUNDS FOR YOU'!G15:G4791,"&lt;=64",'RC and FUNDS FOR YOU'!I15:I4791,"Unknown",'RC and FUNDS FOR YOU'!H15:H4791,"Male",'RC and FUNDS FOR YOU'!W15:W4791,"YES")</f>
        <v>0</v>
      </c>
      <c r="BK69" s="834"/>
      <c r="BL69" s="827">
        <f>COUNTIFS('RC and FUNDS FOR YOU'!G15:G4791,"&gt;=45",'RC and FUNDS FOR YOU'!G15:G4791,"&lt;=64",'RC and FUNDS FOR YOU'!I15:I4791,"Unknown",'RC and FUNDS FOR YOU'!H15:H4791,"Female",'RC and FUNDS FOR YOU'!W15:W4791,"YES")</f>
        <v>0</v>
      </c>
      <c r="BM69" s="828"/>
      <c r="BN69" s="829">
        <f t="shared" si="12"/>
        <v>0</v>
      </c>
      <c r="BO69" s="830"/>
      <c r="BP69" s="829">
        <f t="shared" si="13"/>
        <v>0</v>
      </c>
      <c r="BQ69" s="830"/>
      <c r="BR69" s="13"/>
      <c r="BS69" s="869">
        <f>COUNTIFS('RC and FUNDS FOR YOU'!G15:G4791,"&gt;=45",'RC and FUNDS FOR YOU'!G15:G4791,"&lt;=64",'RC and FUNDS FOR YOU'!J15:J4791,"Not Hispanic or Latino",'RC and FUNDS FOR YOU'!H15:H4791,"Male",'RC and FUNDS FOR YOU'!W15:W4791,"YES")</f>
        <v>0</v>
      </c>
      <c r="BT69" s="870"/>
      <c r="BU69" s="865">
        <f>COUNTIFS('RC and FUNDS FOR YOU'!G15:G4791,"&gt;=45",'RC and FUNDS FOR YOU'!G15:G4791,"&lt;=64",'RC and FUNDS FOR YOU'!J15:J4791,"Not Hispanic or Latino",'RC and FUNDS FOR YOU'!H15:H4791,"Female",'RC and FUNDS FOR YOU'!W15:W4791,"YES")</f>
        <v>0</v>
      </c>
      <c r="BV69" s="866"/>
      <c r="BW69" s="869">
        <f>COUNTIFS('RC and FUNDS FOR YOU'!G15:G4791,"&gt;=45",'RC and FUNDS FOR YOU'!G15:G4791,"&lt;=64",'RC and FUNDS FOR YOU'!J15:J4791,"Hispanic-Latino ",'RC and FUNDS FOR YOU'!H15:H4791,"Male",'RC and FUNDS FOR YOU'!W15:W4791,"YES")</f>
        <v>0</v>
      </c>
      <c r="BX69" s="870"/>
      <c r="BY69" s="865">
        <f>COUNTIFS('RC and FUNDS FOR YOU'!G15:G4791,"&gt;=45",'RC and FUNDS FOR YOU'!G15:G4791,"&lt;=64",'RC and FUNDS FOR YOU'!J15:J4791,"Hispanic-Latino ",'RC and FUNDS FOR YOU'!H15:H4791,"Female",'RC and FUNDS FOR YOU'!W15:W4791,"YES")</f>
        <v>0</v>
      </c>
      <c r="BZ69" s="866"/>
      <c r="CA69" s="869">
        <f>COUNTIFS('RC and FUNDS FOR YOU'!G15:G4791,"&gt;=45",'RC and FUNDS FOR YOU'!G15:G4791,"&lt;=64",'RC and FUNDS FOR YOU'!J15:J4791,"Unknown",'RC and FUNDS FOR YOU'!H15:H4791,"Male",'RC and FUNDS FOR YOU'!W15:W4791,"YES")</f>
        <v>0</v>
      </c>
      <c r="CB69" s="870"/>
      <c r="CC69" s="865">
        <f>COUNTIFS('RC and FUNDS FOR YOU'!G15:G4791,"&gt;=45",'RC and FUNDS FOR YOU'!G15:G4791,"&lt;=64",'RC and FUNDS FOR YOU'!J15:J4791,"Unknown",'RC and FUNDS FOR YOU'!H15:H4791,"Female",'RC and FUNDS FOR YOU'!W15:W4791,"YES")</f>
        <v>0</v>
      </c>
      <c r="CD69" s="866"/>
      <c r="CE69" s="867">
        <f t="shared" si="14"/>
        <v>0</v>
      </c>
      <c r="CF69" s="868"/>
      <c r="CG69" s="867">
        <f t="shared" si="15"/>
        <v>0</v>
      </c>
      <c r="CH69" s="868"/>
    </row>
    <row r="70" spans="1:137" ht="20.100000000000001" customHeight="1" x14ac:dyDescent="0.25">
      <c r="A70" s="27">
        <f t="shared" si="11"/>
        <v>7</v>
      </c>
      <c r="B70" s="691" t="s">
        <v>402</v>
      </c>
      <c r="C70" s="691"/>
      <c r="D70" s="691"/>
      <c r="E70" s="691"/>
      <c r="F70" s="691"/>
      <c r="G70" s="692">
        <f>COUNTIFS('RC and FUNDS FOR YOU'!F15:F4718,"Calhoun",'RC and FUNDS FOR YOU'!W15:W4718,"YES")</f>
        <v>0</v>
      </c>
      <c r="H70" s="692"/>
      <c r="I70" s="692"/>
      <c r="J70" s="692"/>
      <c r="K70" s="692"/>
      <c r="L70" s="692"/>
      <c r="M70" s="27">
        <f t="shared" si="16"/>
        <v>49</v>
      </c>
      <c r="N70" s="404" t="s">
        <v>403</v>
      </c>
      <c r="O70" s="404"/>
      <c r="P70" s="404"/>
      <c r="Q70" s="404"/>
      <c r="R70" s="404"/>
      <c r="S70" s="692">
        <f>COUNTIFS('RC and FUNDS FOR YOU'!F15:F4718,"Ohio",'RC and FUNDS FOR YOU'!W15:W4718,"YES")</f>
        <v>0</v>
      </c>
      <c r="T70" s="692"/>
      <c r="U70" s="692"/>
      <c r="V70" s="692"/>
      <c r="W70" s="692"/>
      <c r="X70" s="692"/>
      <c r="Y70" s="15"/>
      <c r="Z70" s="15"/>
      <c r="AA70" s="15"/>
      <c r="AB70" s="731" t="s">
        <v>404</v>
      </c>
      <c r="AC70" s="731"/>
      <c r="AD70" s="731"/>
      <c r="AE70" s="731"/>
      <c r="AF70" s="731"/>
      <c r="AG70" s="731"/>
      <c r="AH70" s="731"/>
      <c r="AI70" s="731"/>
      <c r="AJ70" s="731"/>
      <c r="AK70" s="731"/>
      <c r="AL70" s="814">
        <f>COUNTIFS('RC and FUNDS FOR YOU'!G15:G4791,"&gt;=65",'RC and FUNDS FOR YOU'!G15:G4791,"&lt;=74",'RC and FUNDS FOR YOU'!I15:I4791,"White / Caucasian ",'RC and FUNDS FOR YOU'!H15:H4791,"Male",'RC and FUNDS FOR YOU'!W15:W4791,"YES")</f>
        <v>0</v>
      </c>
      <c r="AM70" s="815"/>
      <c r="AN70" s="827">
        <f>COUNTIFS('RC and FUNDS FOR YOU'!G15:G4791,"&gt;=65",'RC and FUNDS FOR YOU'!G15:G4791,"&lt;=74",'RC and FUNDS FOR YOU'!I15:I4791,"White / Caucasian ",'RC and FUNDS FOR YOU'!H15:H4791,"Female",'RC and FUNDS FOR YOU'!W15:W4791,"YES")</f>
        <v>0</v>
      </c>
      <c r="AO70" s="828"/>
      <c r="AP70" s="814">
        <f>COUNTIFS('RC and FUNDS FOR YOU'!G15:G4791,"&gt;=65",'RC and FUNDS FOR YOU'!G15:G4791,"&lt;=74",'RC and FUNDS FOR YOU'!I15:I4791,"African American /Black",'RC and FUNDS FOR YOU'!H15:H4791,"Male",'RC and FUNDS FOR YOU'!W15:W4791,"YES")</f>
        <v>0</v>
      </c>
      <c r="AQ70" s="815"/>
      <c r="AR70" s="827">
        <f>COUNTIFS('RC and FUNDS FOR YOU'!G15:G4791,"&gt;=65",'RC and FUNDS FOR YOU'!G15:G4791,"&lt;=74",'RC and FUNDS FOR YOU'!I15:I4791,"African American /Black",'RC and FUNDS FOR YOU'!H15:H4791,"Female",'RC and FUNDS FOR YOU'!W15:W4791,"YES")</f>
        <v>0</v>
      </c>
      <c r="AS70" s="828"/>
      <c r="AT70" s="833">
        <f>COUNTIFS('RC and FUNDS FOR YOU'!G15:G4791,"&gt;=65",'RC and FUNDS FOR YOU'!G15:G4791,"&lt;=74",'RC and FUNDS FOR YOU'!I15:I4791,"Native Hawaiian/Pacific Islander",'RC and FUNDS FOR YOU'!H15:H4791,"Male",'RC and FUNDS FOR YOU'!W15:W4791,"YES")</f>
        <v>0</v>
      </c>
      <c r="AU70" s="834"/>
      <c r="AV70" s="827">
        <f>COUNTIFS('RC and FUNDS FOR YOU'!G15:G4791,"&gt;=65",'RC and FUNDS FOR YOU'!G15:G4791,"&lt;=74",'RC and FUNDS FOR YOU'!I15:I4791,"Native Hawaiian/Pacific Islander",'RC and FUNDS FOR YOU'!H15:H4791,"Female",'RC and FUNDS FOR YOU'!W15:W4791,"YES")</f>
        <v>0</v>
      </c>
      <c r="AW70" s="828"/>
      <c r="AX70" s="833">
        <f>COUNTIFS('RC and FUNDS FOR YOU'!G15:G4791,"&gt;=65",'RC and FUNDS FOR YOU'!G15:G4791,"&lt;=74",'RC and FUNDS FOR YOU'!I15:I4791,"Asian",'RC and FUNDS FOR YOU'!H15:H4791,"Male",'RC and FUNDS FOR YOU'!W15:W4791,"YES")</f>
        <v>0</v>
      </c>
      <c r="AY70" s="834"/>
      <c r="AZ70" s="827">
        <f>COUNTIFS('RC and FUNDS FOR YOU'!G15:G4791,"&gt;=65",'RC and FUNDS FOR YOU'!G15:G4791,"&lt;=74",'RC and FUNDS FOR YOU'!I15:I4791,"Asian",'RC and FUNDS FOR YOU'!H15:H4791,"Female",'RC and FUNDS FOR YOU'!W15:W4791,"YES")</f>
        <v>0</v>
      </c>
      <c r="BA70" s="828"/>
      <c r="BB70" s="814">
        <f>COUNTIFS('RC and FUNDS FOR YOU'!G15:G4791,"&gt;=65",'RC and FUNDS FOR YOU'!G15:G4791,"&lt;=74",'RC and FUNDS FOR YOU'!I15:I4791,"American Indian  / Alaska Native",'RC and FUNDS FOR YOU'!H15:H4791,"Male",'RC and FUNDS FOR YOU'!W15:W4791,"YES")</f>
        <v>0</v>
      </c>
      <c r="BC70" s="815"/>
      <c r="BD70" s="827">
        <f>COUNTIFS('RC and FUNDS FOR YOU'!G15:G4791,"&gt;=65",'RC and FUNDS FOR YOU'!G15:G4791,"&lt;=74",'RC and FUNDS FOR YOU'!I15:I4791,"American Indian  / Alaska Native",'RC and FUNDS FOR YOU'!H15:H4791,"Female",'RC and FUNDS FOR YOU'!W15:W4791,"YES")</f>
        <v>0</v>
      </c>
      <c r="BE70" s="828"/>
      <c r="BF70" s="814">
        <f>COUNTIFS('RC and FUNDS FOR YOU'!G15:G4791,"&gt;=65",'RC and FUNDS FOR YOU'!G15:G4791,"&lt;=74",'RC and FUNDS FOR YOU'!I15:I4791,"More than one race reported",'RC and FUNDS FOR YOU'!H15:H4791,"Male",'RC and FUNDS FOR YOU'!W15:W4791,"YES")</f>
        <v>0</v>
      </c>
      <c r="BG70" s="815"/>
      <c r="BH70" s="827">
        <f>COUNTIFS('RC and FUNDS FOR YOU'!G15:G4791,"&gt;=65",'RC and FUNDS FOR YOU'!G15:G4791,"&lt;=74",'RC and FUNDS FOR YOU'!I15:I4791,"More than one race reported",'RC and FUNDS FOR YOU'!H15:H4791,"Female",'RC and FUNDS FOR YOU'!W15:W4791,"YES")</f>
        <v>0</v>
      </c>
      <c r="BI70" s="828"/>
      <c r="BJ70" s="833">
        <f>COUNTIFS('RC and FUNDS FOR YOU'!G15:G4791,"&gt;=65",'RC and FUNDS FOR YOU'!G15:G4791,"&lt;=74",'RC and FUNDS FOR YOU'!I15:I4791,"Unknown",'RC and FUNDS FOR YOU'!H15:H4791,"Male",'RC and FUNDS FOR YOU'!W15:W4791,"YES")</f>
        <v>0</v>
      </c>
      <c r="BK70" s="834"/>
      <c r="BL70" s="827">
        <f>COUNTIFS('RC and FUNDS FOR YOU'!G15:G4791,"&gt;=65",'RC and FUNDS FOR YOU'!G15:G4791,"&lt;=74",'RC and FUNDS FOR YOU'!I15:I4791,"Unknown",'RC and FUNDS FOR YOU'!H15:H4791,"Female",'RC and FUNDS FOR YOU'!W15:W4791,"YES")</f>
        <v>0</v>
      </c>
      <c r="BM70" s="828"/>
      <c r="BN70" s="829">
        <f t="shared" si="12"/>
        <v>0</v>
      </c>
      <c r="BO70" s="830"/>
      <c r="BP70" s="829">
        <f t="shared" si="13"/>
        <v>0</v>
      </c>
      <c r="BQ70" s="830"/>
      <c r="BR70" s="13"/>
      <c r="BS70" s="869">
        <f>COUNTIFS('RC and FUNDS FOR YOU'!G15:G4791,"&gt;=65",'RC and FUNDS FOR YOU'!G15:G4791,"&lt;=74",'RC and FUNDS FOR YOU'!J15:J4791,"Not Hispanic or Latino",'RC and FUNDS FOR YOU'!H15:H4791,"Male",'RC and FUNDS FOR YOU'!W15:W4791,"YES")</f>
        <v>0</v>
      </c>
      <c r="BT70" s="870"/>
      <c r="BU70" s="865">
        <f>COUNTIFS('RC and FUNDS FOR YOU'!G15:G4791,"&gt;=65",'RC and FUNDS FOR YOU'!G15:G4791,"&lt;=74",'RC and FUNDS FOR YOU'!J15:J4791,"Not Hispanic or Latino",'RC and FUNDS FOR YOU'!H15:H4791,"Female",'RC and FUNDS FOR YOU'!W15:W4791,"YES")</f>
        <v>0</v>
      </c>
      <c r="BV70" s="866"/>
      <c r="BW70" s="869">
        <f>COUNTIFS('RC and FUNDS FOR YOU'!G15:G4791,"&gt;=65",'RC and FUNDS FOR YOU'!G15:G4791,"&lt;=74",'RC and FUNDS FOR YOU'!J15:J4791,"Hispanic-Latino ",'RC and FUNDS FOR YOU'!H15:H4791,"Male",'RC and FUNDS FOR YOU'!W15:W4791,"YES")</f>
        <v>0</v>
      </c>
      <c r="BX70" s="870"/>
      <c r="BY70" s="865">
        <f>COUNTIFS('RC and FUNDS FOR YOU'!G15:G4791,"&gt;=65",'RC and FUNDS FOR YOU'!G15:G4791,"&lt;=74",'RC and FUNDS FOR YOU'!J15:J4791,"Hispanic-Latino Not Hispanic or Latino",'RC and FUNDS FOR YOU'!H15:H4791,"Female",'RC and FUNDS FOR YOU'!W15:W4791,"YES")</f>
        <v>0</v>
      </c>
      <c r="BZ70" s="866"/>
      <c r="CA70" s="869">
        <f>COUNTIFS('RC and FUNDS FOR YOU'!G15:G4791,"&gt;=65",'RC and FUNDS FOR YOU'!G15:G4791,"&lt;=74",'RC and FUNDS FOR YOU'!J15:J4791,"Unknown",'RC and FUNDS FOR YOU'!H15:H4791,"Male",'RC and FUNDS FOR YOU'!W15:W4791,"YES")</f>
        <v>0</v>
      </c>
      <c r="CB70" s="870"/>
      <c r="CC70" s="865">
        <f>COUNTIFS('RC and FUNDS FOR YOU'!G15:G4791,"&gt;=65",'RC and FUNDS FOR YOU'!G15:G4791,"&lt;=74",'RC and FUNDS FOR YOU'!J15:J4791,"Unknown",'RC and FUNDS FOR YOU'!H15:H4791,"Female",'RC and FUNDS FOR YOU'!W15:W4791,"YES")</f>
        <v>0</v>
      </c>
      <c r="CD70" s="866"/>
      <c r="CE70" s="867">
        <f t="shared" si="14"/>
        <v>0</v>
      </c>
      <c r="CF70" s="868"/>
      <c r="CG70" s="867">
        <f t="shared" si="15"/>
        <v>0</v>
      </c>
      <c r="CH70" s="868"/>
    </row>
    <row r="71" spans="1:137" ht="20.100000000000001" customHeight="1" x14ac:dyDescent="0.25">
      <c r="A71" s="27">
        <f t="shared" si="11"/>
        <v>8</v>
      </c>
      <c r="B71" s="691" t="s">
        <v>405</v>
      </c>
      <c r="C71" s="691"/>
      <c r="D71" s="691"/>
      <c r="E71" s="691"/>
      <c r="F71" s="691"/>
      <c r="G71" s="692">
        <f>COUNTIFS('RC and FUNDS FOR YOU'!F15:F4718,"Clay",'RC and FUNDS FOR YOU'!W15:W4718,"YES")</f>
        <v>0</v>
      </c>
      <c r="H71" s="692"/>
      <c r="I71" s="692"/>
      <c r="J71" s="692"/>
      <c r="K71" s="692"/>
      <c r="L71" s="692"/>
      <c r="M71" s="27">
        <f t="shared" si="16"/>
        <v>50</v>
      </c>
      <c r="N71" s="691" t="s">
        <v>406</v>
      </c>
      <c r="O71" s="691"/>
      <c r="P71" s="691"/>
      <c r="Q71" s="691"/>
      <c r="R71" s="691"/>
      <c r="S71" s="692">
        <f>COUNTIFS('RC and FUNDS FOR YOU'!F15:F4718,"Pendleton",'RC and FUNDS FOR YOU'!W15:W4718,"YES")</f>
        <v>0</v>
      </c>
      <c r="T71" s="692"/>
      <c r="U71" s="692"/>
      <c r="V71" s="692"/>
      <c r="W71" s="692"/>
      <c r="X71" s="692"/>
      <c r="Y71" s="15"/>
      <c r="Z71" s="15"/>
      <c r="AA71" s="15"/>
      <c r="AB71" s="731" t="s">
        <v>407</v>
      </c>
      <c r="AC71" s="731"/>
      <c r="AD71" s="731"/>
      <c r="AE71" s="731"/>
      <c r="AF71" s="731"/>
      <c r="AG71" s="731"/>
      <c r="AH71" s="731"/>
      <c r="AI71" s="731"/>
      <c r="AJ71" s="731"/>
      <c r="AK71" s="731"/>
      <c r="AL71" s="814">
        <f>COUNTIFS('RC and FUNDS FOR YOU'!G15:G4791,"&gt;=75",'RC and FUNDS FOR YOU'!G15:G4791,"&lt;=150",'RC and FUNDS FOR YOU'!I15:I4791,"White / Caucasian ",'RC and FUNDS FOR YOU'!H15:H4791,"Male",'RC and FUNDS FOR YOU'!W15:W4791,"YES")</f>
        <v>0</v>
      </c>
      <c r="AM71" s="815"/>
      <c r="AN71" s="827">
        <f>COUNTIFS('RC and FUNDS FOR YOU'!G15:G4791,"&gt;=75",'RC and FUNDS FOR YOU'!G15:G4791,"&lt;=150",'RC and FUNDS FOR YOU'!I15:I4791,"White / Caucasian ",'RC and FUNDS FOR YOU'!H15:H4791,"Female",'RC and FUNDS FOR YOU'!W15:W4791,"YES")</f>
        <v>0</v>
      </c>
      <c r="AO71" s="828"/>
      <c r="AP71" s="814">
        <f>COUNTIFS('RC and FUNDS FOR YOU'!G15:G4791,"&gt;=75",'RC and FUNDS FOR YOU'!G15:G4791,"&lt;=150",'RC and FUNDS FOR YOU'!I15:I4791,"African American /Black",'RC and FUNDS FOR YOU'!H15:H4791,"Male",'RC and FUNDS FOR YOU'!W15:W4791,"YES")</f>
        <v>0</v>
      </c>
      <c r="AQ71" s="815"/>
      <c r="AR71" s="827">
        <f>COUNTIFS('RC and FUNDS FOR YOU'!G15:G4791,"&gt;=75",'RC and FUNDS FOR YOU'!G15:G4791,"&lt;=150",'RC and FUNDS FOR YOU'!I15:I4791,"African American /Black",'RC and FUNDS FOR YOU'!H15:H4791,"Female",'RC and FUNDS FOR YOU'!W15:W4791,"YES")</f>
        <v>0</v>
      </c>
      <c r="AS71" s="828"/>
      <c r="AT71" s="833">
        <f>COUNTIFS('RC and FUNDS FOR YOU'!G15:G4791,"&gt;=75",'RC and FUNDS FOR YOU'!G15:G4791,"&lt;=150",'RC and FUNDS FOR YOU'!I15:I4791,"Native Hawaiian/Pacific Islander",'RC and FUNDS FOR YOU'!H15:H4791,"Male",'RC and FUNDS FOR YOU'!W15:W4791,"YES")</f>
        <v>0</v>
      </c>
      <c r="AU71" s="834"/>
      <c r="AV71" s="827">
        <f>COUNTIFS('RC and FUNDS FOR YOU'!G15:G4791,"&gt;=75",'RC and FUNDS FOR YOU'!G15:G4791,"&lt;=150",'RC and FUNDS FOR YOU'!I15:I4791,"Native Hawaiian/Pacific Islander",'RC and FUNDS FOR YOU'!H15:H4791,"Female",'RC and FUNDS FOR YOU'!W15:W4791,"YES")</f>
        <v>0</v>
      </c>
      <c r="AW71" s="828"/>
      <c r="AX71" s="833">
        <f>COUNTIFS('RC and FUNDS FOR YOU'!G15:G4791,"&gt;=75",'RC and FUNDS FOR YOU'!G15:G4791,"&lt;=150",'RC and FUNDS FOR YOU'!I15:I4791,"Asian",'RC and FUNDS FOR YOU'!H15:H4791,"Male",'RC and FUNDS FOR YOU'!W15:W4791,"YES")</f>
        <v>0</v>
      </c>
      <c r="AY71" s="834"/>
      <c r="AZ71" s="827">
        <f>COUNTIFS('RC and FUNDS FOR YOU'!G15:G4791,"&gt;=75",'RC and FUNDS FOR YOU'!G15:G4791,"&lt;=150",'RC and FUNDS FOR YOU'!I15:I4791,"Asian",'RC and FUNDS FOR YOU'!H15:H4791,"Female",'RC and FUNDS FOR YOU'!W15:W4791,"YES")</f>
        <v>0</v>
      </c>
      <c r="BA71" s="828"/>
      <c r="BB71" s="814">
        <f>COUNTIFS('RC and FUNDS FOR YOU'!G15:G4791,"&gt;=75",'RC and FUNDS FOR YOU'!G15:G4791,"&lt;=150",'RC and FUNDS FOR YOU'!I15:I4791,"American Indian  / Alaska Native",'RC and FUNDS FOR YOU'!H15:H4791,"Male",'RC and FUNDS FOR YOU'!W15:W4791,"YES")</f>
        <v>0</v>
      </c>
      <c r="BC71" s="815"/>
      <c r="BD71" s="827">
        <f>COUNTIFS('RC and FUNDS FOR YOU'!G15:G4791,"&gt;=75",'RC and FUNDS FOR YOU'!G15:G4791,"&lt;=150",'RC and FUNDS FOR YOU'!I15:I4791,"American Indian  / Alaska Native",'RC and FUNDS FOR YOU'!H15:H4791,"Female",'RC and FUNDS FOR YOU'!W15:W4791,"YES")</f>
        <v>0</v>
      </c>
      <c r="BE71" s="828"/>
      <c r="BF71" s="814">
        <f>COUNTIFS('RC and FUNDS FOR YOU'!G15:G4791,"&gt;=75",'RC and FUNDS FOR YOU'!G15:G4791,"&lt;=150",'RC and FUNDS FOR YOU'!I15:I4791,"More than one race reported",'RC and FUNDS FOR YOU'!H15:H4791,"Male",'RC and FUNDS FOR YOU'!W15:W4791,"YES")</f>
        <v>0</v>
      </c>
      <c r="BG71" s="815"/>
      <c r="BH71" s="827">
        <f>COUNTIFS('RC and FUNDS FOR YOU'!G15:G4791,"&gt;=75",'RC and FUNDS FOR YOU'!G15:G4791,"&lt;=150",'RC and FUNDS FOR YOU'!I15:I4791,"More than one race reported",'RC and FUNDS FOR YOU'!H15:H4791,"Female",'RC and FUNDS FOR YOU'!W15:W4791,"YES")</f>
        <v>0</v>
      </c>
      <c r="BI71" s="828"/>
      <c r="BJ71" s="833">
        <f>COUNTIFS('RC and FUNDS FOR YOU'!G15:G4791,"&gt;=75",'RC and FUNDS FOR YOU'!G15:G4791,"&lt;=150",'RC and FUNDS FOR YOU'!I15:I4791,"Unknown",'RC and FUNDS FOR YOU'!H15:H4791,"Male",'RC and FUNDS FOR YOU'!W15:W4791,"YES")</f>
        <v>0</v>
      </c>
      <c r="BK71" s="834"/>
      <c r="BL71" s="827">
        <f>COUNTIFS('RC and FUNDS FOR YOU'!G15:G4791,"&gt;=75",'RC and FUNDS FOR YOU'!G15:G4791,"&lt;=150",'RC and FUNDS FOR YOU'!I15:I4791,"Unknown",'RC and FUNDS FOR YOU'!H15:H4791,"Female",'RC and FUNDS FOR YOU'!W15:W4791,"YES")</f>
        <v>0</v>
      </c>
      <c r="BM71" s="828"/>
      <c r="BN71" s="829">
        <f t="shared" si="12"/>
        <v>0</v>
      </c>
      <c r="BO71" s="830"/>
      <c r="BP71" s="829">
        <f t="shared" si="13"/>
        <v>0</v>
      </c>
      <c r="BQ71" s="830"/>
      <c r="BR71" s="13"/>
      <c r="BS71" s="869">
        <f>COUNTIFS('RC and FUNDS FOR YOU'!G15:G4791,"&gt;=75",'RC and FUNDS FOR YOU'!G15:G4791,"&lt;=150",'RC and FUNDS FOR YOU'!J15:J4791,"Not Hispanic or Latino",'RC and FUNDS FOR YOU'!H15:H4791,"Male",'RC and FUNDS FOR YOU'!W15:W4791,"YES")</f>
        <v>0</v>
      </c>
      <c r="BT71" s="870"/>
      <c r="BU71" s="865">
        <f>COUNTIFS('RC and FUNDS FOR YOU'!G15:G4791,"&gt;=75",'RC and FUNDS FOR YOU'!G15:G4791,"&lt;=150",'RC and FUNDS FOR YOU'!J15:J4791,"Not Hispanic or Latino",'RC and FUNDS FOR YOU'!H15:H4791,"Female",'RC and FUNDS FOR YOU'!W15:W4791,"YES")</f>
        <v>0</v>
      </c>
      <c r="BV71" s="866"/>
      <c r="BW71" s="869">
        <f>COUNTIFS('RC and FUNDS FOR YOU'!G15:G4791,"&gt;=75",'RC and FUNDS FOR YOU'!G15:G4791,"&lt;=150",'RC and FUNDS FOR YOU'!J15:J4791,"Hispanic-Latino ",'RC and FUNDS FOR YOU'!H15:H4791,"Male",'RC and FUNDS FOR YOU'!W15:W4791,"YES")</f>
        <v>0</v>
      </c>
      <c r="BX71" s="870"/>
      <c r="BY71" s="865">
        <f>COUNTIFS('RC and FUNDS FOR YOU'!G15:G4791,"&gt;=75",'RC and FUNDS FOR YOU'!G15:G4791,"&lt;=150",'RC and FUNDS FOR YOU'!J15:J4791,"Hispanic-Latino ",'RC and FUNDS FOR YOU'!H15:H4791,"Female",'RC and FUNDS FOR YOU'!W15:W4791,"YES")</f>
        <v>0</v>
      </c>
      <c r="BZ71" s="866"/>
      <c r="CA71" s="869">
        <f>COUNTIFS('RC and FUNDS FOR YOU'!G15:G4791,"&gt;=75",'RC and FUNDS FOR YOU'!G15:G4791,"&lt;=150",'RC and FUNDS FOR YOU'!J15:J4791,"Unknown",'RC and FUNDS FOR YOU'!H15:H4791,"Male",'RC and FUNDS FOR YOU'!W15:W4791,"YES")</f>
        <v>0</v>
      </c>
      <c r="CB71" s="870"/>
      <c r="CC71" s="865">
        <f>COUNTIFS('RC and FUNDS FOR YOU'!G15:G4791,"&gt;=75",'RC and FUNDS FOR YOU'!G15:G4791,"&lt;=150",'RC and FUNDS FOR YOU'!J15:J4791,"Unknown",'RC and FUNDS FOR YOU'!H15:H4791,"Female",'RC and FUNDS FOR YOU'!W15:W4791,"YES")</f>
        <v>0</v>
      </c>
      <c r="CD71" s="866"/>
      <c r="CE71" s="867">
        <f t="shared" si="14"/>
        <v>0</v>
      </c>
      <c r="CF71" s="868"/>
      <c r="CG71" s="867">
        <f t="shared" si="15"/>
        <v>0</v>
      </c>
      <c r="CH71" s="868"/>
    </row>
    <row r="72" spans="1:137" ht="20.100000000000001" customHeight="1" x14ac:dyDescent="0.25">
      <c r="A72" s="27">
        <f t="shared" si="11"/>
        <v>9</v>
      </c>
      <c r="B72" s="691" t="s">
        <v>408</v>
      </c>
      <c r="C72" s="691"/>
      <c r="D72" s="691"/>
      <c r="E72" s="691"/>
      <c r="F72" s="691"/>
      <c r="G72" s="692">
        <f>COUNTIFS('RC and FUNDS FOR YOU'!F15:F4718,"Doddridge",'RC and FUNDS FOR YOU'!W15:W4718,"YES")</f>
        <v>0</v>
      </c>
      <c r="H72" s="692"/>
      <c r="I72" s="692"/>
      <c r="J72" s="692"/>
      <c r="K72" s="692"/>
      <c r="L72" s="692"/>
      <c r="M72" s="27">
        <f t="shared" si="16"/>
        <v>51</v>
      </c>
      <c r="N72" s="691" t="s">
        <v>409</v>
      </c>
      <c r="O72" s="691"/>
      <c r="P72" s="691"/>
      <c r="Q72" s="691"/>
      <c r="R72" s="691"/>
      <c r="S72" s="692">
        <f>COUNTIFS('RC and FUNDS FOR YOU'!F15:F4718,"Pleasants",'RC and FUNDS FOR YOU'!W15:W4718,"YES")</f>
        <v>0</v>
      </c>
      <c r="T72" s="692"/>
      <c r="U72" s="692"/>
      <c r="V72" s="692"/>
      <c r="W72" s="692"/>
      <c r="X72" s="692"/>
      <c r="Y72" s="15"/>
      <c r="Z72" s="15"/>
      <c r="AA72" s="15"/>
      <c r="AB72" s="1063" t="s">
        <v>378</v>
      </c>
      <c r="AC72" s="1063"/>
      <c r="AD72" s="1063"/>
      <c r="AE72" s="1063"/>
      <c r="AF72" s="1063"/>
      <c r="AG72" s="1063"/>
      <c r="AH72" s="1063"/>
      <c r="AI72" s="1063"/>
      <c r="AJ72" s="1063"/>
      <c r="AK72" s="1063"/>
      <c r="AL72" s="894">
        <f>SUM(AL64:AL71)</f>
        <v>0</v>
      </c>
      <c r="AM72" s="895"/>
      <c r="AN72" s="894">
        <f>SUM(AN64:AN71)</f>
        <v>0</v>
      </c>
      <c r="AO72" s="895"/>
      <c r="AP72" s="894">
        <f>SUM(AP64:AP71)</f>
        <v>0</v>
      </c>
      <c r="AQ72" s="895"/>
      <c r="AR72" s="894">
        <f>SUM(AR64:AR71)</f>
        <v>0</v>
      </c>
      <c r="AS72" s="895"/>
      <c r="AT72" s="894">
        <f>SUM(AT64:AT71)</f>
        <v>0</v>
      </c>
      <c r="AU72" s="895"/>
      <c r="AV72" s="894">
        <f>SUM(AV64:AV71)</f>
        <v>0</v>
      </c>
      <c r="AW72" s="895"/>
      <c r="AX72" s="894">
        <f>SUM(AX64:AX71)</f>
        <v>0</v>
      </c>
      <c r="AY72" s="895"/>
      <c r="AZ72" s="894">
        <f>SUM(AZ64:AZ71)</f>
        <v>0</v>
      </c>
      <c r="BA72" s="895"/>
      <c r="BB72" s="894">
        <f>SUM(BB64:BB71)</f>
        <v>0</v>
      </c>
      <c r="BC72" s="895"/>
      <c r="BD72" s="894">
        <f>SUM(BD64:BD71)</f>
        <v>0</v>
      </c>
      <c r="BE72" s="895"/>
      <c r="BF72" s="894">
        <f>SUM(BF64:BF71)</f>
        <v>0</v>
      </c>
      <c r="BG72" s="895"/>
      <c r="BH72" s="894">
        <f>SUM(BH64:BH71)</f>
        <v>0</v>
      </c>
      <c r="BI72" s="895"/>
      <c r="BJ72" s="894">
        <f>SUM(BJ64:BJ71)</f>
        <v>0</v>
      </c>
      <c r="BK72" s="895"/>
      <c r="BL72" s="894">
        <f>SUM(BL64:BL71)</f>
        <v>0</v>
      </c>
      <c r="BM72" s="895"/>
      <c r="BN72" s="894">
        <f>SUM(BN64:BN71)</f>
        <v>0</v>
      </c>
      <c r="BO72" s="895"/>
      <c r="BP72" s="894">
        <f>SUM(BP64:BP71)</f>
        <v>0</v>
      </c>
      <c r="BQ72" s="895"/>
      <c r="BR72" s="13"/>
      <c r="BS72" s="878">
        <f>SUM(BS64:BS71)</f>
        <v>0</v>
      </c>
      <c r="BT72" s="879"/>
      <c r="BU72" s="896">
        <f>SUM(BU64:BU71)</f>
        <v>0</v>
      </c>
      <c r="BV72" s="897"/>
      <c r="BW72" s="878">
        <f>SUM(BW64:BW71)</f>
        <v>0</v>
      </c>
      <c r="BX72" s="879"/>
      <c r="BY72" s="878">
        <f>SUM(BY64:BY71)</f>
        <v>0</v>
      </c>
      <c r="BZ72" s="879"/>
      <c r="CA72" s="878">
        <f>SUM(CA64:CA71)</f>
        <v>0</v>
      </c>
      <c r="CB72" s="879"/>
      <c r="CC72" s="878">
        <f>SUM(CC64:CC71)</f>
        <v>0</v>
      </c>
      <c r="CD72" s="879"/>
      <c r="CE72" s="878">
        <f>SUM(CE64:CE71)</f>
        <v>0</v>
      </c>
      <c r="CF72" s="879"/>
      <c r="CG72" s="878">
        <f>SUM(CG64:CG71)</f>
        <v>0</v>
      </c>
      <c r="CH72" s="879"/>
    </row>
    <row r="73" spans="1:137" ht="20.100000000000001" customHeight="1" x14ac:dyDescent="0.3">
      <c r="A73" s="27">
        <f t="shared" si="11"/>
        <v>10</v>
      </c>
      <c r="B73" s="691" t="s">
        <v>410</v>
      </c>
      <c r="C73" s="691"/>
      <c r="D73" s="691"/>
      <c r="E73" s="691"/>
      <c r="F73" s="691"/>
      <c r="G73" s="692">
        <f>COUNTIFS('RC and FUNDS FOR YOU'!F15:F4718,"Fayette",'RC and FUNDS FOR YOU'!W15:W4718,"YES")</f>
        <v>0</v>
      </c>
      <c r="H73" s="692"/>
      <c r="I73" s="692"/>
      <c r="J73" s="692"/>
      <c r="K73" s="692"/>
      <c r="L73" s="692"/>
      <c r="M73" s="27">
        <f t="shared" si="16"/>
        <v>52</v>
      </c>
      <c r="N73" s="691" t="s">
        <v>411</v>
      </c>
      <c r="O73" s="691"/>
      <c r="P73" s="691"/>
      <c r="Q73" s="691"/>
      <c r="R73" s="691"/>
      <c r="S73" s="692">
        <f>COUNTIFS('RC and FUNDS FOR YOU'!F15:F4718,"Pocahontas",'RC and FUNDS FOR YOU'!W15:W4718,"YES")</f>
        <v>0</v>
      </c>
      <c r="T73" s="692"/>
      <c r="U73" s="692"/>
      <c r="V73" s="692"/>
      <c r="W73" s="692"/>
      <c r="X73" s="692"/>
      <c r="Y73" s="15"/>
      <c r="Z73" s="15"/>
      <c r="AA73" s="15"/>
      <c r="AB73" s="1056" t="s">
        <v>412</v>
      </c>
      <c r="AC73" s="1057"/>
      <c r="AD73" s="1057"/>
      <c r="AE73" s="1057"/>
      <c r="AF73" s="1057"/>
      <c r="AG73" s="1057"/>
      <c r="AH73" s="1057"/>
      <c r="AI73" s="1057"/>
      <c r="AJ73" s="1057"/>
      <c r="AK73" s="1057"/>
      <c r="AL73" s="1057"/>
      <c r="AM73" s="1057"/>
      <c r="AN73" s="1057"/>
      <c r="AO73" s="1057"/>
      <c r="AP73" s="1057"/>
      <c r="AQ73" s="1057"/>
      <c r="AR73" s="1057"/>
      <c r="AS73" s="1057"/>
      <c r="AT73" s="1057"/>
      <c r="AU73" s="1057"/>
      <c r="AV73" s="1057"/>
      <c r="AW73" s="1057"/>
      <c r="AX73" s="1057"/>
      <c r="AY73" s="1057"/>
      <c r="AZ73" s="1057"/>
      <c r="BA73" s="1057"/>
      <c r="BB73" s="1057"/>
      <c r="BC73" s="1057"/>
      <c r="BD73" s="1057"/>
      <c r="BE73" s="1057"/>
      <c r="BF73" s="1057"/>
      <c r="BG73" s="1057"/>
      <c r="BH73" s="1057"/>
      <c r="BI73" s="1057"/>
      <c r="BJ73" s="1057"/>
      <c r="BK73" s="1057"/>
      <c r="BL73" s="1057"/>
      <c r="BM73" s="1058"/>
      <c r="BN73" s="850">
        <f>BN72+BP72</f>
        <v>0</v>
      </c>
      <c r="BO73" s="850"/>
      <c r="BP73" s="850"/>
      <c r="BQ73" s="850"/>
      <c r="BR73" s="13"/>
      <c r="BS73" s="851" t="s">
        <v>412</v>
      </c>
      <c r="BT73" s="851"/>
      <c r="BU73" s="851"/>
      <c r="BV73" s="851"/>
      <c r="BW73" s="851"/>
      <c r="BX73" s="851"/>
      <c r="BY73" s="851"/>
      <c r="BZ73" s="851"/>
      <c r="CA73" s="851"/>
      <c r="CB73" s="851"/>
      <c r="CC73" s="851"/>
      <c r="CD73" s="851"/>
      <c r="CE73" s="893">
        <f>CE72+CG72</f>
        <v>0</v>
      </c>
      <c r="CF73" s="893"/>
      <c r="CG73" s="893"/>
      <c r="CH73" s="893"/>
    </row>
    <row r="74" spans="1:137" ht="20.100000000000001" customHeight="1" x14ac:dyDescent="0.25">
      <c r="A74" s="27">
        <f t="shared" si="11"/>
        <v>11</v>
      </c>
      <c r="B74" s="691" t="s">
        <v>413</v>
      </c>
      <c r="C74" s="691"/>
      <c r="D74" s="691"/>
      <c r="E74" s="691"/>
      <c r="F74" s="691"/>
      <c r="G74" s="692">
        <f>COUNTIFS('RC and FUNDS FOR YOU'!F15:F4718,"Gilmer",'RC and FUNDS FOR YOU'!W15:W4718,"YES")</f>
        <v>0</v>
      </c>
      <c r="H74" s="692"/>
      <c r="I74" s="692"/>
      <c r="J74" s="692"/>
      <c r="K74" s="692"/>
      <c r="L74" s="692"/>
      <c r="M74" s="27">
        <f t="shared" si="16"/>
        <v>53</v>
      </c>
      <c r="N74" s="691" t="s">
        <v>414</v>
      </c>
      <c r="O74" s="691"/>
      <c r="P74" s="691"/>
      <c r="Q74" s="691"/>
      <c r="R74" s="691"/>
      <c r="S74" s="692">
        <f>COUNTIFS('RC and FUNDS FOR YOU'!F15:F4718,"Preston",'RC and FUNDS FOR YOU'!W15:W4718,"YES")</f>
        <v>0</v>
      </c>
      <c r="T74" s="692"/>
      <c r="U74" s="692"/>
      <c r="V74" s="692"/>
      <c r="W74" s="692"/>
      <c r="X74" s="692"/>
      <c r="Y74" s="15"/>
      <c r="Z74" s="15"/>
      <c r="AA74" s="15"/>
      <c r="AB74" s="37"/>
      <c r="AC74" s="37"/>
      <c r="AD74" s="37"/>
      <c r="AE74" s="37"/>
      <c r="AF74" s="37"/>
      <c r="AG74" s="37"/>
      <c r="AH74" s="37"/>
      <c r="AI74" s="37"/>
      <c r="AJ74" s="37"/>
      <c r="AK74" s="37"/>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S74" s="11"/>
      <c r="BT74" s="11"/>
      <c r="BU74" s="11"/>
      <c r="BV74" s="11"/>
      <c r="BW74" s="11"/>
      <c r="BX74" s="11"/>
      <c r="BY74" s="11"/>
      <c r="BZ74" s="11"/>
      <c r="CA74" s="11"/>
      <c r="CB74" s="11"/>
      <c r="CC74" s="11"/>
      <c r="CD74" s="11"/>
      <c r="CE74" s="11"/>
      <c r="CF74" s="11"/>
      <c r="CG74" s="11"/>
      <c r="CH74" s="11"/>
    </row>
    <row r="75" spans="1:137" ht="20.100000000000001" customHeight="1" x14ac:dyDescent="0.25">
      <c r="A75" s="27" t="e">
        <f>ROW(#REF!)</f>
        <v>#REF!</v>
      </c>
      <c r="B75" s="691" t="s">
        <v>415</v>
      </c>
      <c r="C75" s="691"/>
      <c r="D75" s="691"/>
      <c r="E75" s="691"/>
      <c r="F75" s="691"/>
      <c r="G75" s="692">
        <f>COUNTIFS('RC and FUNDS FOR YOU'!F15:F4718,"Grant",'RC and FUNDS FOR YOU'!W15:W4718,"YES")</f>
        <v>0</v>
      </c>
      <c r="H75" s="692"/>
      <c r="I75" s="692"/>
      <c r="J75" s="692"/>
      <c r="K75" s="692"/>
      <c r="L75" s="692"/>
      <c r="M75" s="27">
        <f t="shared" si="16"/>
        <v>54</v>
      </c>
      <c r="N75" s="691" t="s">
        <v>416</v>
      </c>
      <c r="O75" s="691"/>
      <c r="P75" s="691"/>
      <c r="Q75" s="691"/>
      <c r="R75" s="691"/>
      <c r="S75" s="692">
        <f>COUNTIFS('RC and FUNDS FOR YOU'!F15:F4718,"Putnam",'RC and FUNDS FOR YOU'!W15:W4718,"YES")</f>
        <v>0</v>
      </c>
      <c r="T75" s="692"/>
      <c r="U75" s="692"/>
      <c r="V75" s="692"/>
      <c r="W75" s="692"/>
      <c r="X75" s="692"/>
      <c r="Y75" s="15"/>
      <c r="Z75" s="15"/>
      <c r="AA75" s="15"/>
      <c r="AB75" s="966" t="s">
        <v>468</v>
      </c>
      <c r="AC75" s="966"/>
      <c r="AD75" s="966"/>
      <c r="AE75" s="966"/>
      <c r="AF75" s="966"/>
      <c r="AG75" s="966"/>
      <c r="AH75" s="966"/>
      <c r="AI75" s="966"/>
      <c r="AJ75" s="966"/>
      <c r="AK75" s="966"/>
      <c r="AL75" s="966"/>
      <c r="AM75" s="966"/>
      <c r="AN75" s="966"/>
      <c r="AO75" s="966"/>
      <c r="AP75" s="966"/>
      <c r="AQ75" s="966"/>
      <c r="AR75" s="966"/>
      <c r="AS75" s="966"/>
      <c r="AT75" s="966"/>
      <c r="AU75" s="1073" t="s">
        <v>469</v>
      </c>
      <c r="AV75" s="1073"/>
      <c r="AW75" s="1073"/>
      <c r="AX75" s="1073"/>
      <c r="AY75" s="1073"/>
      <c r="BC75" s="996" t="s">
        <v>470</v>
      </c>
      <c r="BD75" s="997"/>
      <c r="BE75" s="997"/>
      <c r="BF75" s="997"/>
      <c r="BG75" s="997"/>
      <c r="BH75" s="997"/>
      <c r="BI75" s="997"/>
      <c r="BJ75" s="997"/>
      <c r="BK75" s="998"/>
      <c r="BL75" s="999" t="s">
        <v>469</v>
      </c>
      <c r="BM75" s="1000"/>
      <c r="BN75" s="1000"/>
      <c r="BO75" s="1000"/>
      <c r="BP75" s="1001"/>
      <c r="CA75" s="39"/>
      <c r="CB75" s="39"/>
      <c r="CC75" s="39"/>
      <c r="CD75" s="39"/>
      <c r="CE75" s="39"/>
      <c r="CF75" s="39"/>
      <c r="CG75" s="39"/>
      <c r="CH75" s="39"/>
    </row>
    <row r="76" spans="1:137" ht="20.100000000000001" customHeight="1" x14ac:dyDescent="0.25">
      <c r="A76" s="27">
        <f t="shared" ref="A76:A91" si="17">ROW(A27)</f>
        <v>27</v>
      </c>
      <c r="B76" s="691" t="s">
        <v>418</v>
      </c>
      <c r="C76" s="691"/>
      <c r="D76" s="691"/>
      <c r="E76" s="691"/>
      <c r="F76" s="691"/>
      <c r="G76" s="692">
        <f>COUNTIFS('RC and FUNDS FOR YOU'!F15:F4718,"Greenbrier",'RC and FUNDS FOR YOU'!W15:W4718,"YES")</f>
        <v>0</v>
      </c>
      <c r="H76" s="692"/>
      <c r="I76" s="692"/>
      <c r="J76" s="692"/>
      <c r="K76" s="692"/>
      <c r="L76" s="692"/>
      <c r="M76" s="27">
        <f t="shared" si="16"/>
        <v>55</v>
      </c>
      <c r="N76" s="691" t="s">
        <v>419</v>
      </c>
      <c r="O76" s="691"/>
      <c r="P76" s="691"/>
      <c r="Q76" s="691"/>
      <c r="R76" s="691"/>
      <c r="S76" s="692">
        <f>COUNTIFS('RC and FUNDS FOR YOU'!F15:F4718,"Raleigh",'RC and FUNDS FOR YOU'!W15:W4718,"YES")</f>
        <v>0</v>
      </c>
      <c r="T76" s="692"/>
      <c r="U76" s="692"/>
      <c r="V76" s="692"/>
      <c r="W76" s="692"/>
      <c r="X76" s="692"/>
      <c r="Y76" s="15"/>
      <c r="Z76" s="15"/>
      <c r="AA76" s="15"/>
      <c r="AB76" s="921" t="s">
        <v>471</v>
      </c>
      <c r="AC76" s="921"/>
      <c r="AD76" s="921"/>
      <c r="AE76" s="921"/>
      <c r="AF76" s="921"/>
      <c r="AG76" s="921"/>
      <c r="AH76" s="921"/>
      <c r="AI76" s="921"/>
      <c r="AJ76" s="921"/>
      <c r="AK76" s="921"/>
      <c r="AL76" s="921"/>
      <c r="AM76" s="921"/>
      <c r="AN76" s="921"/>
      <c r="AO76" s="921"/>
      <c r="AP76" s="921"/>
      <c r="AQ76" s="921"/>
      <c r="AR76" s="921"/>
      <c r="AS76" s="921"/>
      <c r="AT76" s="921"/>
      <c r="AU76" s="918">
        <f>COUNTIFS('RC and FUNDS FOR YOU'!Y15:Y4718,"YES")</f>
        <v>1</v>
      </c>
      <c r="AV76" s="918"/>
      <c r="AW76" s="918"/>
      <c r="AX76" s="918"/>
      <c r="AY76" s="918"/>
      <c r="BC76" s="1002" t="s">
        <v>472</v>
      </c>
      <c r="BD76" s="1003"/>
      <c r="BE76" s="1003"/>
      <c r="BF76" s="1003"/>
      <c r="BG76" s="1003"/>
      <c r="BH76" s="1003"/>
      <c r="BI76" s="1003"/>
      <c r="BJ76" s="1003"/>
      <c r="BK76" s="1004"/>
      <c r="BL76" s="814">
        <f>COUNTIFS('RC and FUNDS FOR YOU'!AR15:AR4718,"YES")</f>
        <v>0</v>
      </c>
      <c r="BM76" s="1005"/>
      <c r="BN76" s="1005"/>
      <c r="BO76" s="1005"/>
      <c r="BP76" s="815"/>
      <c r="CA76" s="39"/>
      <c r="CB76" s="39"/>
      <c r="CC76" s="39"/>
      <c r="CD76" s="39"/>
      <c r="CE76" s="39"/>
      <c r="CF76" s="39"/>
      <c r="CG76" s="39"/>
      <c r="CH76" s="39"/>
    </row>
    <row r="77" spans="1:137" ht="20.100000000000001" customHeight="1" x14ac:dyDescent="0.25">
      <c r="A77" s="27">
        <f t="shared" si="17"/>
        <v>28</v>
      </c>
      <c r="B77" s="691" t="s">
        <v>420</v>
      </c>
      <c r="C77" s="691"/>
      <c r="D77" s="691"/>
      <c r="E77" s="691"/>
      <c r="F77" s="691"/>
      <c r="G77" s="692">
        <f>COUNTIFS('RC and FUNDS FOR YOU'!F15:F4718,"Hampshire",'RC and FUNDS FOR YOU'!W15:W4718,"YES")</f>
        <v>0</v>
      </c>
      <c r="H77" s="692"/>
      <c r="I77" s="692"/>
      <c r="J77" s="692"/>
      <c r="K77" s="692"/>
      <c r="L77" s="692"/>
      <c r="M77" s="27">
        <f t="shared" si="16"/>
        <v>56</v>
      </c>
      <c r="N77" s="691" t="s">
        <v>421</v>
      </c>
      <c r="O77" s="691"/>
      <c r="P77" s="691"/>
      <c r="Q77" s="691"/>
      <c r="R77" s="691"/>
      <c r="S77" s="692">
        <f>COUNTIFS('RC and FUNDS FOR YOU'!F15:F4718,"Randolph",'RC and FUNDS FOR YOU'!W15:W4718,"YES")</f>
        <v>0</v>
      </c>
      <c r="T77" s="692"/>
      <c r="U77" s="692"/>
      <c r="V77" s="692"/>
      <c r="W77" s="692"/>
      <c r="X77" s="692"/>
      <c r="Y77" s="15"/>
      <c r="Z77" s="15"/>
      <c r="AA77" s="15"/>
      <c r="AB77" s="977" t="s">
        <v>256</v>
      </c>
      <c r="AC77" s="977"/>
      <c r="AD77" s="977"/>
      <c r="AE77" s="977"/>
      <c r="AF77" s="977"/>
      <c r="AG77" s="977"/>
      <c r="AH77" s="977"/>
      <c r="AI77" s="977"/>
      <c r="AJ77" s="977"/>
      <c r="AK77" s="977"/>
      <c r="AL77" s="977"/>
      <c r="AM77" s="977"/>
      <c r="AN77" s="977"/>
      <c r="AO77" s="977"/>
      <c r="AP77" s="977"/>
      <c r="AQ77" s="977"/>
      <c r="AR77" s="977"/>
      <c r="AS77" s="977"/>
      <c r="AT77" s="977"/>
      <c r="AU77" s="919">
        <f>COUNTIFS('RC and FUNDS FOR YOU'!Z15:Z4718,"YES")</f>
        <v>1</v>
      </c>
      <c r="AV77" s="919"/>
      <c r="AW77" s="919"/>
      <c r="AX77" s="919"/>
      <c r="AY77" s="919"/>
      <c r="BC77" s="1006" t="s">
        <v>473</v>
      </c>
      <c r="BD77" s="1007"/>
      <c r="BE77" s="1007"/>
      <c r="BF77" s="1007"/>
      <c r="BG77" s="1007"/>
      <c r="BH77" s="1007"/>
      <c r="BI77" s="1007"/>
      <c r="BJ77" s="1007"/>
      <c r="BK77" s="1008"/>
      <c r="BL77" s="1009">
        <f>COUNTIFS('RC and FUNDS FOR YOU'!AR15:AR4718,"NO")</f>
        <v>0</v>
      </c>
      <c r="BM77" s="1010"/>
      <c r="BN77" s="1010"/>
      <c r="BO77" s="1010"/>
      <c r="BP77" s="1011"/>
      <c r="CA77" s="39"/>
      <c r="CB77" s="39"/>
      <c r="CC77" s="39"/>
      <c r="CD77" s="39"/>
      <c r="CE77" s="39"/>
      <c r="CF77" s="39"/>
      <c r="CG77" s="39"/>
      <c r="CH77" s="39"/>
    </row>
    <row r="78" spans="1:137" ht="20.100000000000001" customHeight="1" x14ac:dyDescent="0.25">
      <c r="A78" s="27">
        <f t="shared" si="17"/>
        <v>29</v>
      </c>
      <c r="B78" s="404" t="s">
        <v>422</v>
      </c>
      <c r="C78" s="404"/>
      <c r="D78" s="404"/>
      <c r="E78" s="404"/>
      <c r="F78" s="404"/>
      <c r="G78" s="692">
        <f>COUNTIFS('RC and FUNDS FOR YOU'!F15:F4718,"Hancock",'RC and FUNDS FOR YOU'!W15:W4718,"YES")</f>
        <v>0</v>
      </c>
      <c r="H78" s="692"/>
      <c r="I78" s="692"/>
      <c r="J78" s="692"/>
      <c r="K78" s="692"/>
      <c r="L78" s="692"/>
      <c r="M78" s="27">
        <f t="shared" si="16"/>
        <v>57</v>
      </c>
      <c r="N78" s="691" t="s">
        <v>423</v>
      </c>
      <c r="O78" s="691"/>
      <c r="P78" s="691"/>
      <c r="Q78" s="691"/>
      <c r="R78" s="691"/>
      <c r="S78" s="692">
        <f>COUNTIFS('RC and FUNDS FOR YOU'!F15:F4718,"Ritchie",'RC and FUNDS FOR YOU'!W15:W4718,"YES")</f>
        <v>0</v>
      </c>
      <c r="T78" s="692"/>
      <c r="U78" s="692"/>
      <c r="V78" s="692"/>
      <c r="W78" s="692"/>
      <c r="X78" s="692"/>
      <c r="Y78" s="15"/>
      <c r="Z78" s="15"/>
      <c r="AA78" s="15"/>
      <c r="AB78" s="921" t="s">
        <v>474</v>
      </c>
      <c r="AC78" s="921"/>
      <c r="AD78" s="921"/>
      <c r="AE78" s="921"/>
      <c r="AF78" s="921"/>
      <c r="AG78" s="921"/>
      <c r="AH78" s="921"/>
      <c r="AI78" s="921"/>
      <c r="AJ78" s="921"/>
      <c r="AK78" s="921"/>
      <c r="AL78" s="921"/>
      <c r="AM78" s="921"/>
      <c r="AN78" s="921"/>
      <c r="AO78" s="921"/>
      <c r="AP78" s="921"/>
      <c r="AQ78" s="921"/>
      <c r="AR78" s="921"/>
      <c r="AS78" s="921"/>
      <c r="AT78" s="921"/>
      <c r="AU78" s="918">
        <f>COUNTIFS('RC and FUNDS FOR YOU'!AA15:AA4718,"YES")</f>
        <v>1</v>
      </c>
      <c r="AV78" s="918"/>
      <c r="AW78" s="918"/>
      <c r="AX78" s="918"/>
      <c r="AY78" s="918"/>
      <c r="BC78" s="1002" t="s">
        <v>475</v>
      </c>
      <c r="BD78" s="1003"/>
      <c r="BE78" s="1003"/>
      <c r="BF78" s="1003"/>
      <c r="BG78" s="1003"/>
      <c r="BH78" s="1003"/>
      <c r="BI78" s="1003"/>
      <c r="BJ78" s="1003"/>
      <c r="BK78" s="1004"/>
      <c r="BL78" s="814">
        <f>COUNTIFS('RC and FUNDS FOR YOU'!AR15:AUN4718,"Partially Met ")</f>
        <v>1</v>
      </c>
      <c r="BM78" s="1005"/>
      <c r="BN78" s="1005"/>
      <c r="BO78" s="1005"/>
      <c r="BP78" s="815"/>
      <c r="CA78" s="39"/>
      <c r="CB78" s="39"/>
      <c r="CC78" s="39"/>
      <c r="CD78" s="39"/>
      <c r="CE78" s="39"/>
      <c r="CF78" s="39"/>
      <c r="CG78" s="39"/>
      <c r="CH78" s="39"/>
      <c r="DJ78" s="15"/>
      <c r="EB78" s="62"/>
      <c r="EC78" s="62"/>
      <c r="ED78" s="62"/>
      <c r="EE78" s="62"/>
      <c r="EF78" s="62"/>
      <c r="EG78" s="62"/>
    </row>
    <row r="79" spans="1:137" ht="20.100000000000001" customHeight="1" x14ac:dyDescent="0.25">
      <c r="A79" s="27">
        <f t="shared" si="17"/>
        <v>30</v>
      </c>
      <c r="B79" s="691" t="s">
        <v>425</v>
      </c>
      <c r="C79" s="691"/>
      <c r="D79" s="691"/>
      <c r="E79" s="691"/>
      <c r="F79" s="691"/>
      <c r="G79" s="692">
        <f>COUNTIFS('RC and FUNDS FOR YOU'!F15:F4718,"Hardy",'RC and FUNDS FOR YOU'!W15:W4718,"YES")</f>
        <v>0</v>
      </c>
      <c r="H79" s="692"/>
      <c r="I79" s="692"/>
      <c r="J79" s="692"/>
      <c r="K79" s="692"/>
      <c r="L79" s="692"/>
      <c r="M79" s="27">
        <f t="shared" si="16"/>
        <v>58</v>
      </c>
      <c r="N79" s="691" t="s">
        <v>426</v>
      </c>
      <c r="O79" s="691"/>
      <c r="P79" s="691"/>
      <c r="Q79" s="691"/>
      <c r="R79" s="691"/>
      <c r="S79" s="692">
        <f>COUNTIFS('RC and FUNDS FOR YOU'!F15:F4718,"Roane",'RC and FUNDS FOR YOU'!W15:W4718,"YES")</f>
        <v>0</v>
      </c>
      <c r="T79" s="692"/>
      <c r="U79" s="692"/>
      <c r="V79" s="692"/>
      <c r="W79" s="692"/>
      <c r="X79" s="692"/>
      <c r="Y79" s="15"/>
      <c r="Z79" s="15"/>
      <c r="AA79" s="15"/>
      <c r="AB79" s="977" t="s">
        <v>476</v>
      </c>
      <c r="AC79" s="977"/>
      <c r="AD79" s="977"/>
      <c r="AE79" s="977"/>
      <c r="AF79" s="977"/>
      <c r="AG79" s="977"/>
      <c r="AH79" s="977"/>
      <c r="AI79" s="977"/>
      <c r="AJ79" s="977"/>
      <c r="AK79" s="977"/>
      <c r="AL79" s="977"/>
      <c r="AM79" s="977"/>
      <c r="AN79" s="977"/>
      <c r="AO79" s="977"/>
      <c r="AP79" s="977"/>
      <c r="AQ79" s="977"/>
      <c r="AR79" s="977"/>
      <c r="AS79" s="977"/>
      <c r="AT79" s="977"/>
      <c r="AU79" s="919">
        <f>COUNTIFS('RC and FUNDS FOR YOU'!AB15:AB4718,"YES")</f>
        <v>0</v>
      </c>
      <c r="AV79" s="919"/>
      <c r="AW79" s="919"/>
      <c r="AX79" s="919"/>
      <c r="AY79" s="919"/>
      <c r="BC79" s="1012"/>
      <c r="BD79" s="1013"/>
      <c r="BE79" s="1013"/>
      <c r="BF79" s="1013"/>
      <c r="BG79" s="1013"/>
      <c r="BH79" s="1013"/>
      <c r="BI79" s="1013"/>
      <c r="BJ79" s="1013"/>
      <c r="BK79" s="1014"/>
      <c r="BL79" s="1015"/>
      <c r="BM79" s="1016"/>
      <c r="BN79" s="1016"/>
      <c r="BO79" s="1016"/>
      <c r="BP79" s="1017"/>
      <c r="CA79" s="39"/>
      <c r="CB79" s="39"/>
      <c r="CC79" s="39"/>
      <c r="CD79" s="39"/>
      <c r="CE79" s="39"/>
      <c r="CF79" s="39"/>
      <c r="CG79" s="39"/>
      <c r="CH79" s="39"/>
      <c r="DJ79" s="15"/>
      <c r="EB79" s="62"/>
      <c r="EC79" s="62"/>
      <c r="ED79" s="62"/>
      <c r="EE79" s="62"/>
      <c r="EF79" s="62"/>
      <c r="EG79" s="62"/>
    </row>
    <row r="80" spans="1:137" ht="20.100000000000001" customHeight="1" x14ac:dyDescent="0.25">
      <c r="A80" s="27">
        <f t="shared" si="17"/>
        <v>31</v>
      </c>
      <c r="B80" s="691" t="s">
        <v>427</v>
      </c>
      <c r="C80" s="691"/>
      <c r="D80" s="691"/>
      <c r="E80" s="691"/>
      <c r="F80" s="691"/>
      <c r="G80" s="692">
        <f>COUNTIFS('RC and FUNDS FOR YOU'!F15:F4718,"Harrison",'RC and FUNDS FOR YOU'!W15:W4718,"YES")</f>
        <v>0</v>
      </c>
      <c r="H80" s="692"/>
      <c r="I80" s="692"/>
      <c r="J80" s="692"/>
      <c r="K80" s="692"/>
      <c r="L80" s="692"/>
      <c r="M80" s="27">
        <f t="shared" si="16"/>
        <v>59</v>
      </c>
      <c r="N80" s="691" t="s">
        <v>428</v>
      </c>
      <c r="O80" s="691"/>
      <c r="P80" s="691"/>
      <c r="Q80" s="691"/>
      <c r="R80" s="691"/>
      <c r="S80" s="692">
        <f>COUNTIFS('RC and FUNDS FOR YOU'!F15:F4718,"Summers",'RC and FUNDS FOR YOU'!W15:W4718,"YES")</f>
        <v>0</v>
      </c>
      <c r="T80" s="692"/>
      <c r="U80" s="692"/>
      <c r="V80" s="692"/>
      <c r="W80" s="692"/>
      <c r="X80" s="692"/>
      <c r="Y80" s="15"/>
      <c r="Z80" s="15"/>
      <c r="AA80" s="15"/>
      <c r="AB80" s="921" t="s">
        <v>259</v>
      </c>
      <c r="AC80" s="921"/>
      <c r="AD80" s="921"/>
      <c r="AE80" s="921"/>
      <c r="AF80" s="921"/>
      <c r="AG80" s="921"/>
      <c r="AH80" s="921"/>
      <c r="AI80" s="921"/>
      <c r="AJ80" s="921"/>
      <c r="AK80" s="921"/>
      <c r="AL80" s="921"/>
      <c r="AM80" s="921"/>
      <c r="AN80" s="921"/>
      <c r="AO80" s="921"/>
      <c r="AP80" s="921"/>
      <c r="AQ80" s="921"/>
      <c r="AR80" s="921"/>
      <c r="AS80" s="921"/>
      <c r="AT80" s="921"/>
      <c r="AU80" s="918">
        <f>COUNTIFS('RC and FUNDS FOR YOU'!AC15:AC4718,"YES")</f>
        <v>0</v>
      </c>
      <c r="AV80" s="918"/>
      <c r="AW80" s="918"/>
      <c r="AX80" s="918"/>
      <c r="AY80" s="918"/>
      <c r="BC80" s="1018" t="s">
        <v>412</v>
      </c>
      <c r="BD80" s="1019"/>
      <c r="BE80" s="1019"/>
      <c r="BF80" s="1019"/>
      <c r="BG80" s="1019"/>
      <c r="BH80" s="1019"/>
      <c r="BI80" s="1019"/>
      <c r="BJ80" s="1019"/>
      <c r="BK80" s="1020"/>
      <c r="BL80" s="1021">
        <f>SUM(BL76:BL78)</f>
        <v>1</v>
      </c>
      <c r="BM80" s="1022"/>
      <c r="BN80" s="1022"/>
      <c r="BO80" s="1022"/>
      <c r="BP80" s="1023"/>
      <c r="DJ80" s="18"/>
      <c r="EB80" s="62"/>
      <c r="EC80" s="62"/>
      <c r="ED80" s="62"/>
      <c r="EE80" s="62"/>
      <c r="EF80" s="62"/>
      <c r="EG80" s="62"/>
    </row>
    <row r="81" spans="1:137" ht="20.100000000000001" customHeight="1" x14ac:dyDescent="0.25">
      <c r="A81" s="27">
        <f t="shared" si="17"/>
        <v>32</v>
      </c>
      <c r="B81" s="691" t="s">
        <v>429</v>
      </c>
      <c r="C81" s="691"/>
      <c r="D81" s="691"/>
      <c r="E81" s="691"/>
      <c r="F81" s="691"/>
      <c r="G81" s="692">
        <f>COUNTIFS('RC and FUNDS FOR YOU'!F15:F4718,"Jackson",'RC and FUNDS FOR YOU'!W15:W4718,"YES")</f>
        <v>0</v>
      </c>
      <c r="H81" s="692"/>
      <c r="I81" s="692"/>
      <c r="J81" s="692"/>
      <c r="K81" s="692"/>
      <c r="L81" s="692"/>
      <c r="M81" s="27">
        <f t="shared" si="16"/>
        <v>60</v>
      </c>
      <c r="N81" s="691" t="s">
        <v>430</v>
      </c>
      <c r="O81" s="691"/>
      <c r="P81" s="691"/>
      <c r="Q81" s="691"/>
      <c r="R81" s="691"/>
      <c r="S81" s="692">
        <f>COUNTIFS('RC and FUNDS FOR YOU'!F15:F4718,"Taylor",'RC and FUNDS FOR YOU'!W15:W4718,"YES")</f>
        <v>0</v>
      </c>
      <c r="T81" s="692"/>
      <c r="U81" s="692"/>
      <c r="V81" s="692"/>
      <c r="W81" s="692"/>
      <c r="X81" s="692"/>
      <c r="Y81" s="15"/>
      <c r="Z81" s="15"/>
      <c r="AA81" s="15"/>
      <c r="AB81" s="977" t="s">
        <v>260</v>
      </c>
      <c r="AC81" s="977"/>
      <c r="AD81" s="977"/>
      <c r="AE81" s="977"/>
      <c r="AF81" s="977"/>
      <c r="AG81" s="977"/>
      <c r="AH81" s="977"/>
      <c r="AI81" s="977"/>
      <c r="AJ81" s="977"/>
      <c r="AK81" s="977"/>
      <c r="AL81" s="977"/>
      <c r="AM81" s="977"/>
      <c r="AN81" s="977"/>
      <c r="AO81" s="977"/>
      <c r="AP81" s="977"/>
      <c r="AQ81" s="977"/>
      <c r="AR81" s="977"/>
      <c r="AS81" s="977"/>
      <c r="AT81" s="977"/>
      <c r="AU81" s="919">
        <f>COUNTIFS('RC and FUNDS FOR YOU'!AD15:AD4718,"YES")</f>
        <v>0</v>
      </c>
      <c r="AV81" s="919"/>
      <c r="AW81" s="919"/>
      <c r="AX81" s="919"/>
      <c r="AY81" s="919"/>
      <c r="DJ81" s="11"/>
      <c r="DK81" s="15"/>
      <c r="DL81" s="15"/>
      <c r="EB81" s="62"/>
      <c r="EC81" s="62"/>
      <c r="ED81" s="62"/>
      <c r="EE81" s="62"/>
      <c r="EF81" s="62"/>
      <c r="EG81" s="62"/>
    </row>
    <row r="82" spans="1:137" ht="20.100000000000001" customHeight="1" x14ac:dyDescent="0.25">
      <c r="A82" s="27">
        <f t="shared" si="17"/>
        <v>33</v>
      </c>
      <c r="B82" s="691" t="s">
        <v>432</v>
      </c>
      <c r="C82" s="691"/>
      <c r="D82" s="691"/>
      <c r="E82" s="691"/>
      <c r="F82" s="691"/>
      <c r="G82" s="692">
        <f>COUNTIFS('RC and FUNDS FOR YOU'!F15:F4718,"Jefferson",'RC and FUNDS FOR YOU'!W15:W4718,"YES")</f>
        <v>0</v>
      </c>
      <c r="H82" s="692"/>
      <c r="I82" s="692"/>
      <c r="J82" s="692"/>
      <c r="K82" s="692"/>
      <c r="L82" s="692"/>
      <c r="M82" s="27">
        <f t="shared" si="16"/>
        <v>61</v>
      </c>
      <c r="N82" s="691" t="s">
        <v>433</v>
      </c>
      <c r="O82" s="691"/>
      <c r="P82" s="691"/>
      <c r="Q82" s="691"/>
      <c r="R82" s="691"/>
      <c r="S82" s="692">
        <f>COUNTIFS('RC and FUNDS FOR YOU'!F15:F4718,"Tucker",'RC and FUNDS FOR YOU'!W15:W4718,"YES")</f>
        <v>0</v>
      </c>
      <c r="T82" s="692"/>
      <c r="U82" s="692"/>
      <c r="V82" s="692"/>
      <c r="W82" s="692"/>
      <c r="X82" s="692"/>
      <c r="Y82" s="15"/>
      <c r="Z82" s="15"/>
      <c r="AA82" s="15"/>
      <c r="AB82" s="921" t="s">
        <v>477</v>
      </c>
      <c r="AC82" s="921"/>
      <c r="AD82" s="921"/>
      <c r="AE82" s="921"/>
      <c r="AF82" s="921"/>
      <c r="AG82" s="921"/>
      <c r="AH82" s="921"/>
      <c r="AI82" s="921"/>
      <c r="AJ82" s="921"/>
      <c r="AK82" s="921"/>
      <c r="AL82" s="921"/>
      <c r="AM82" s="921"/>
      <c r="AN82" s="921"/>
      <c r="AO82" s="921"/>
      <c r="AP82" s="921"/>
      <c r="AQ82" s="921"/>
      <c r="AR82" s="921"/>
      <c r="AS82" s="921"/>
      <c r="AT82" s="921"/>
      <c r="AU82" s="920">
        <f>COUNTIFS('RC and FUNDS FOR YOU'!AE15:AE4718,"YES")</f>
        <v>0</v>
      </c>
      <c r="AV82" s="920"/>
      <c r="AW82" s="920"/>
      <c r="AX82" s="920"/>
      <c r="AY82" s="920"/>
      <c r="CF82">
        <v>15</v>
      </c>
      <c r="EB82" s="62"/>
      <c r="EC82" s="62"/>
      <c r="ED82" s="62"/>
      <c r="EE82" s="62"/>
      <c r="EF82" s="62"/>
      <c r="EG82" s="62"/>
    </row>
    <row r="83" spans="1:137" ht="20.100000000000001" customHeight="1" x14ac:dyDescent="0.3">
      <c r="A83" s="27">
        <f t="shared" si="17"/>
        <v>34</v>
      </c>
      <c r="B83" s="691" t="s">
        <v>435</v>
      </c>
      <c r="C83" s="691"/>
      <c r="D83" s="691"/>
      <c r="E83" s="691"/>
      <c r="F83" s="691"/>
      <c r="G83" s="692">
        <f>COUNTIFS('RC and FUNDS FOR YOU'!F15:F4718,"Kanawha",'RC and FUNDS FOR YOU'!W15:W4718,"YES")</f>
        <v>0</v>
      </c>
      <c r="H83" s="692"/>
      <c r="I83" s="692"/>
      <c r="J83" s="692"/>
      <c r="K83" s="692"/>
      <c r="L83" s="692"/>
      <c r="M83" s="27">
        <f t="shared" si="16"/>
        <v>62</v>
      </c>
      <c r="N83" s="691" t="s">
        <v>436</v>
      </c>
      <c r="O83" s="691"/>
      <c r="P83" s="691"/>
      <c r="Q83" s="691"/>
      <c r="R83" s="691"/>
      <c r="S83" s="692">
        <f>COUNTIFS('RC and FUNDS FOR YOU'!F15:F4718,"Tyler",'RC and FUNDS FOR YOU'!W15:W4718,"YES")</f>
        <v>0</v>
      </c>
      <c r="T83" s="692"/>
      <c r="U83" s="692"/>
      <c r="V83" s="692"/>
      <c r="W83" s="692"/>
      <c r="X83" s="692"/>
      <c r="Y83" s="15"/>
      <c r="Z83" s="15"/>
      <c r="AA83" s="15"/>
      <c r="AB83" s="977" t="s">
        <v>262</v>
      </c>
      <c r="AC83" s="977"/>
      <c r="AD83" s="977"/>
      <c r="AE83" s="977"/>
      <c r="AF83" s="977"/>
      <c r="AG83" s="977"/>
      <c r="AH83" s="977"/>
      <c r="AI83" s="977"/>
      <c r="AJ83" s="977"/>
      <c r="AK83" s="977"/>
      <c r="AL83" s="977"/>
      <c r="AM83" s="977"/>
      <c r="AN83" s="977"/>
      <c r="AO83" s="977"/>
      <c r="AP83" s="977"/>
      <c r="AQ83" s="977"/>
      <c r="AR83" s="977"/>
      <c r="AS83" s="977"/>
      <c r="AT83" s="977"/>
      <c r="AU83" s="965">
        <f>COUNTIFS('RC and FUNDS FOR YOU'!AF15:AF4718,"YES")</f>
        <v>1</v>
      </c>
      <c r="AV83" s="965"/>
      <c r="AW83" s="965"/>
      <c r="AX83" s="965"/>
      <c r="AY83" s="965"/>
      <c r="CF83">
        <v>22</v>
      </c>
      <c r="EB83" s="62"/>
      <c r="EC83" s="62"/>
      <c r="ED83" s="62"/>
      <c r="EE83" s="62"/>
      <c r="EF83" s="62"/>
      <c r="EG83" s="62"/>
    </row>
    <row r="84" spans="1:137" ht="20.100000000000001" customHeight="1" x14ac:dyDescent="0.3">
      <c r="A84" s="27">
        <f t="shared" si="17"/>
        <v>35</v>
      </c>
      <c r="B84" s="691" t="s">
        <v>439</v>
      </c>
      <c r="C84" s="691"/>
      <c r="D84" s="691"/>
      <c r="E84" s="691"/>
      <c r="F84" s="691"/>
      <c r="G84" s="692">
        <f>COUNTIFS('RC and FUNDS FOR YOU'!F15:F4718,"Lewis",'RC and FUNDS FOR YOU'!W15:W4718,"YES")</f>
        <v>0</v>
      </c>
      <c r="H84" s="692"/>
      <c r="I84" s="692"/>
      <c r="J84" s="692"/>
      <c r="K84" s="692"/>
      <c r="L84" s="692"/>
      <c r="M84" s="27">
        <f t="shared" si="16"/>
        <v>63</v>
      </c>
      <c r="N84" s="691" t="s">
        <v>440</v>
      </c>
      <c r="O84" s="691"/>
      <c r="P84" s="691"/>
      <c r="Q84" s="691"/>
      <c r="R84" s="691"/>
      <c r="S84" s="692">
        <f>COUNTIFS('RC and FUNDS FOR YOU'!F15:F4718,"Upshur",'RC and FUNDS FOR YOU'!W15:W4718,"YES")</f>
        <v>0</v>
      </c>
      <c r="T84" s="692"/>
      <c r="U84" s="692"/>
      <c r="V84" s="692"/>
      <c r="W84" s="692"/>
      <c r="X84" s="692"/>
      <c r="Y84" s="15"/>
      <c r="Z84" s="15"/>
      <c r="AA84" s="15"/>
      <c r="AB84" s="921" t="s">
        <v>262</v>
      </c>
      <c r="AC84" s="921"/>
      <c r="AD84" s="921"/>
      <c r="AE84" s="921"/>
      <c r="AF84" s="921"/>
      <c r="AG84" s="921"/>
      <c r="AH84" s="921"/>
      <c r="AI84" s="921"/>
      <c r="AJ84" s="921"/>
      <c r="AK84" s="921"/>
      <c r="AL84" s="921"/>
      <c r="AM84" s="921"/>
      <c r="AN84" s="921"/>
      <c r="AO84" s="921"/>
      <c r="AP84" s="921"/>
      <c r="AQ84" s="921"/>
      <c r="AR84" s="921"/>
      <c r="AS84" s="921"/>
      <c r="AT84" s="921"/>
      <c r="AU84" s="922">
        <f>COUNTIFS('RC and FUNDS FOR YOU'!AH15:AH4719,"YES")</f>
        <v>0</v>
      </c>
      <c r="AV84" s="922"/>
      <c r="AW84" s="922"/>
      <c r="AX84" s="922"/>
      <c r="AY84" s="922"/>
      <c r="EB84" s="62"/>
      <c r="EC84" s="62"/>
      <c r="ED84" s="62"/>
      <c r="EE84" s="62"/>
      <c r="EF84" s="62"/>
      <c r="EG84" s="62"/>
    </row>
    <row r="85" spans="1:137" ht="20.100000000000001" customHeight="1" x14ac:dyDescent="0.25">
      <c r="A85" s="27">
        <f t="shared" si="17"/>
        <v>36</v>
      </c>
      <c r="B85" s="691" t="s">
        <v>443</v>
      </c>
      <c r="C85" s="691"/>
      <c r="D85" s="691"/>
      <c r="E85" s="691"/>
      <c r="F85" s="691"/>
      <c r="G85" s="692">
        <f>COUNTIFS('RC and FUNDS FOR YOU'!F15:F4718,"Lincoln",'RC and FUNDS FOR YOU'!W15:W4718,"YES")</f>
        <v>0</v>
      </c>
      <c r="H85" s="692"/>
      <c r="I85" s="692"/>
      <c r="J85" s="692"/>
      <c r="K85" s="692"/>
      <c r="L85" s="692"/>
      <c r="M85" s="27">
        <f t="shared" si="16"/>
        <v>64</v>
      </c>
      <c r="N85" s="691" t="s">
        <v>444</v>
      </c>
      <c r="O85" s="691"/>
      <c r="P85" s="691"/>
      <c r="Q85" s="691"/>
      <c r="R85" s="691"/>
      <c r="S85" s="692">
        <f>COUNTIFS('RC and FUNDS FOR YOU'!F15:F4718,"Wayne",'RC and FUNDS FOR YOU'!W15:W4718,"YES")</f>
        <v>0</v>
      </c>
      <c r="T85" s="692"/>
      <c r="U85" s="692"/>
      <c r="V85" s="692"/>
      <c r="W85" s="692"/>
      <c r="X85" s="692"/>
      <c r="Y85" s="15"/>
      <c r="Z85" s="15"/>
      <c r="AA85" s="15"/>
      <c r="AB85" s="65"/>
      <c r="AC85" s="65"/>
      <c r="AD85" s="65"/>
      <c r="AE85" s="65"/>
      <c r="AF85" s="65"/>
      <c r="AG85" s="65"/>
      <c r="AH85" s="65"/>
      <c r="AI85" s="65"/>
      <c r="AJ85" s="65"/>
      <c r="AK85" s="65"/>
      <c r="AL85" s="65"/>
      <c r="AM85" s="65"/>
      <c r="AN85" s="65"/>
      <c r="AO85" s="65"/>
      <c r="AP85" s="65"/>
      <c r="AQ85" s="65"/>
      <c r="AR85" s="65"/>
      <c r="AS85" s="65"/>
      <c r="AT85" s="65"/>
      <c r="AU85" s="66"/>
      <c r="AV85" s="66"/>
      <c r="AW85" s="66"/>
      <c r="AX85" s="66"/>
      <c r="AY85" s="66"/>
      <c r="EB85" s="62"/>
      <c r="EC85" s="62"/>
      <c r="ED85" s="62"/>
      <c r="EE85" s="62"/>
      <c r="EF85" s="62"/>
      <c r="EG85" s="62"/>
    </row>
    <row r="86" spans="1:137" ht="20.100000000000001" customHeight="1" x14ac:dyDescent="0.25">
      <c r="A86" s="27">
        <f t="shared" si="17"/>
        <v>37</v>
      </c>
      <c r="B86" s="691" t="s">
        <v>447</v>
      </c>
      <c r="C86" s="691"/>
      <c r="D86" s="691"/>
      <c r="E86" s="691"/>
      <c r="F86" s="691"/>
      <c r="G86" s="692">
        <f>COUNTIFS('RC and FUNDS FOR YOU'!F15:F4718,"Logan",'RC and FUNDS FOR YOU'!W15:W4718,"YES")</f>
        <v>0</v>
      </c>
      <c r="H86" s="692"/>
      <c r="I86" s="692"/>
      <c r="J86" s="692"/>
      <c r="K86" s="692"/>
      <c r="L86" s="692"/>
      <c r="M86" s="27">
        <f t="shared" si="16"/>
        <v>65</v>
      </c>
      <c r="N86" s="691" t="s">
        <v>448</v>
      </c>
      <c r="O86" s="691"/>
      <c r="P86" s="691"/>
      <c r="Q86" s="691"/>
      <c r="R86" s="691"/>
      <c r="S86" s="692">
        <f>COUNTIFS('RC and FUNDS FOR YOU'!F15:F4718,"Webster",'RC and FUNDS FOR YOU'!W15:W4718,"YES")</f>
        <v>0</v>
      </c>
      <c r="T86" s="692"/>
      <c r="U86" s="692"/>
      <c r="V86" s="692"/>
      <c r="W86" s="692"/>
      <c r="X86" s="692"/>
      <c r="Y86" s="15"/>
      <c r="Z86" s="15"/>
      <c r="AA86" s="15"/>
      <c r="AB86" s="963" t="s">
        <v>478</v>
      </c>
      <c r="AC86" s="963"/>
      <c r="AD86" s="963"/>
      <c r="AE86" s="963"/>
      <c r="AF86" s="963"/>
      <c r="AG86" s="963"/>
      <c r="AH86" s="963"/>
      <c r="AI86" s="963"/>
      <c r="AJ86" s="963"/>
      <c r="AK86" s="963"/>
      <c r="AL86" s="963"/>
      <c r="AM86" s="963"/>
      <c r="AN86" s="963"/>
      <c r="AO86" s="963"/>
      <c r="AP86" s="963"/>
      <c r="AQ86" s="963"/>
      <c r="AR86" s="963"/>
      <c r="AS86" s="963"/>
      <c r="AT86" s="963"/>
      <c r="AU86" s="68"/>
      <c r="AV86" s="13"/>
      <c r="AW86" s="964"/>
      <c r="AX86" s="964"/>
      <c r="AY86" s="964"/>
      <c r="AZ86" s="964"/>
      <c r="BA86" s="964"/>
      <c r="BB86" s="964"/>
      <c r="BC86" s="964"/>
      <c r="BD86" s="964"/>
      <c r="BE86" s="964"/>
      <c r="BF86" s="964"/>
      <c r="BG86" s="964"/>
      <c r="BH86" s="964"/>
      <c r="BI86" s="964"/>
      <c r="BJ86" s="964"/>
      <c r="BK86" s="964"/>
      <c r="BL86" s="964"/>
      <c r="BM86" s="964"/>
      <c r="BN86" s="964"/>
      <c r="BO86" s="964"/>
      <c r="BP86" s="964"/>
    </row>
    <row r="87" spans="1:137" ht="30" customHeight="1" x14ac:dyDescent="0.25">
      <c r="A87" s="27">
        <f t="shared" si="17"/>
        <v>38</v>
      </c>
      <c r="B87" s="691" t="s">
        <v>450</v>
      </c>
      <c r="C87" s="691"/>
      <c r="D87" s="691"/>
      <c r="E87" s="691"/>
      <c r="F87" s="691"/>
      <c r="G87" s="692">
        <f>COUNTIFS('RC and FUNDS FOR YOU'!F15:F4718,"Marion",'RC and FUNDS FOR YOU'!W15:W4718,"YES")</f>
        <v>0</v>
      </c>
      <c r="H87" s="692"/>
      <c r="I87" s="692"/>
      <c r="J87" s="692"/>
      <c r="K87" s="692"/>
      <c r="L87" s="692"/>
      <c r="M87" s="27">
        <f t="shared" si="16"/>
        <v>66</v>
      </c>
      <c r="N87" s="404" t="s">
        <v>451</v>
      </c>
      <c r="O87" s="404"/>
      <c r="P87" s="404"/>
      <c r="Q87" s="404"/>
      <c r="R87" s="404"/>
      <c r="S87" s="692">
        <f>COUNTIFS('RC and FUNDS FOR YOU'!F15:F4718,"Wetzel",'RC and FUNDS FOR YOU'!W15:W4718,"YES")</f>
        <v>0</v>
      </c>
      <c r="T87" s="692"/>
      <c r="U87" s="692"/>
      <c r="V87" s="692"/>
      <c r="W87" s="692"/>
      <c r="X87" s="692"/>
      <c r="Y87" s="15"/>
      <c r="Z87" s="15"/>
      <c r="AA87" s="15"/>
      <c r="AB87" s="928" t="s">
        <v>796</v>
      </c>
      <c r="AC87" s="929"/>
      <c r="AD87" s="929"/>
      <c r="AE87" s="929"/>
      <c r="AF87" s="929"/>
      <c r="AG87" s="929"/>
      <c r="AH87" s="929"/>
      <c r="AI87" s="929"/>
      <c r="AJ87" s="929"/>
      <c r="AK87" s="929"/>
      <c r="AL87" s="929"/>
      <c r="AM87" s="929"/>
      <c r="AN87" s="929"/>
      <c r="AO87" s="930"/>
      <c r="AP87" s="923">
        <v>200000</v>
      </c>
      <c r="AQ87" s="924"/>
      <c r="AR87" s="924"/>
      <c r="AS87" s="924"/>
      <c r="AT87" s="924"/>
      <c r="AU87" s="925"/>
      <c r="AV87" s="24"/>
      <c r="AW87" s="934" t="s">
        <v>479</v>
      </c>
      <c r="AX87" s="935"/>
      <c r="AY87" s="935"/>
      <c r="AZ87" s="935"/>
      <c r="BA87" s="935"/>
      <c r="BB87" s="935"/>
      <c r="BC87" s="935"/>
      <c r="BD87" s="935"/>
      <c r="BE87" s="935"/>
      <c r="BF87" s="935"/>
      <c r="BG87" s="935"/>
      <c r="BH87" s="935"/>
      <c r="BI87" s="935"/>
      <c r="BJ87" s="936"/>
      <c r="BK87" s="940">
        <f>COUNTIFS('RC and FUNDS FOR YOU'!AJ15:AJ4885,"&gt;=1",'RC and FUNDS FOR YOU'!AJ15:AJ4885,"&lt;=10000")</f>
        <v>2</v>
      </c>
      <c r="BL87" s="941"/>
      <c r="BM87" s="941"/>
      <c r="BN87" s="941"/>
      <c r="BO87" s="941"/>
      <c r="BP87" s="942"/>
      <c r="DJ87" s="15"/>
    </row>
    <row r="88" spans="1:137" ht="20.100000000000001" customHeight="1" x14ac:dyDescent="0.25">
      <c r="A88" s="27">
        <f t="shared" si="17"/>
        <v>39</v>
      </c>
      <c r="B88" s="404" t="s">
        <v>453</v>
      </c>
      <c r="C88" s="404"/>
      <c r="D88" s="404"/>
      <c r="E88" s="404"/>
      <c r="F88" s="404"/>
      <c r="G88" s="692">
        <f>COUNTIFS('RC and FUNDS FOR YOU'!F15:F4718,"Marshall",'RC and FUNDS FOR YOU'!W15:W4718,"YES")</f>
        <v>0</v>
      </c>
      <c r="H88" s="692"/>
      <c r="I88" s="692"/>
      <c r="J88" s="692"/>
      <c r="K88" s="692"/>
      <c r="L88" s="692"/>
      <c r="M88" s="27">
        <f t="shared" si="16"/>
        <v>67</v>
      </c>
      <c r="N88" s="691" t="s">
        <v>454</v>
      </c>
      <c r="O88" s="691"/>
      <c r="P88" s="691"/>
      <c r="Q88" s="691"/>
      <c r="R88" s="691"/>
      <c r="S88" s="692">
        <f>COUNTIFS('RC and FUNDS FOR YOU'!F15:F4718,"Wirt",'RC and FUNDS FOR YOU'!W15:W4718,"YES")</f>
        <v>0</v>
      </c>
      <c r="T88" s="692"/>
      <c r="U88" s="692"/>
      <c r="V88" s="692"/>
      <c r="W88" s="692"/>
      <c r="X88" s="692"/>
      <c r="Y88" s="15"/>
      <c r="Z88" s="15"/>
      <c r="AA88" s="15"/>
      <c r="AB88" s="931" t="s">
        <v>480</v>
      </c>
      <c r="AC88" s="932"/>
      <c r="AD88" s="932"/>
      <c r="AE88" s="932"/>
      <c r="AF88" s="932"/>
      <c r="AG88" s="932"/>
      <c r="AH88" s="932"/>
      <c r="AI88" s="932"/>
      <c r="AJ88" s="932"/>
      <c r="AK88" s="932"/>
      <c r="AL88" s="932"/>
      <c r="AM88" s="932"/>
      <c r="AN88" s="932"/>
      <c r="AO88" s="933"/>
      <c r="AP88" s="960">
        <f>SUMIF('RC and FUNDS FOR YOU'!AJ15:AJ4718,"&gt;=1")</f>
        <v>1307.3499999999999</v>
      </c>
      <c r="AQ88" s="961"/>
      <c r="AR88" s="961"/>
      <c r="AS88" s="961"/>
      <c r="AT88" s="961"/>
      <c r="AU88" s="962"/>
      <c r="AV88" s="24"/>
      <c r="AW88" s="937" t="s">
        <v>481</v>
      </c>
      <c r="AX88" s="938"/>
      <c r="AY88" s="938"/>
      <c r="AZ88" s="938"/>
      <c r="BA88" s="938"/>
      <c r="BB88" s="938"/>
      <c r="BC88" s="938"/>
      <c r="BD88" s="938"/>
      <c r="BE88" s="938"/>
      <c r="BF88" s="938"/>
      <c r="BG88" s="938"/>
      <c r="BH88" s="938"/>
      <c r="BI88" s="938"/>
      <c r="BJ88" s="939"/>
      <c r="BK88" s="943">
        <f>COUNTIFS('RC and FUNDS FOR YOU'!AJ15:AJ4885,"&gt;=1",'RC and FUNDS FOR YOU'!AJ15:AJ4885,"&lt;=10000",'RC and FUNDS FOR YOU'!C15:C4885,"YES")</f>
        <v>0</v>
      </c>
      <c r="BL88" s="944"/>
      <c r="BM88" s="944"/>
      <c r="BN88" s="944"/>
      <c r="BO88" s="944"/>
      <c r="BP88" s="945"/>
    </row>
    <row r="89" spans="1:137" ht="20.100000000000001" customHeight="1" x14ac:dyDescent="0.25">
      <c r="A89" s="27">
        <f t="shared" si="17"/>
        <v>40</v>
      </c>
      <c r="B89" s="691" t="s">
        <v>457</v>
      </c>
      <c r="C89" s="691"/>
      <c r="D89" s="691"/>
      <c r="E89" s="691"/>
      <c r="F89" s="691"/>
      <c r="G89" s="692">
        <f>COUNTIFS('RC and FUNDS FOR YOU'!F15:F4718,"Mason",'RC and FUNDS FOR YOU'!W15:W4718,"YES")</f>
        <v>0</v>
      </c>
      <c r="H89" s="692"/>
      <c r="I89" s="692"/>
      <c r="J89" s="692"/>
      <c r="K89" s="692"/>
      <c r="L89" s="692"/>
      <c r="M89" s="27">
        <f t="shared" si="16"/>
        <v>68</v>
      </c>
      <c r="N89" s="691" t="s">
        <v>458</v>
      </c>
      <c r="O89" s="691"/>
      <c r="P89" s="691"/>
      <c r="Q89" s="691"/>
      <c r="R89" s="691"/>
      <c r="S89" s="692">
        <f>COUNTIFS('RC and FUNDS FOR YOU'!F15:F4718,"Wood",'RC and FUNDS FOR YOU'!W15:W4718,"YES")</f>
        <v>0</v>
      </c>
      <c r="T89" s="692"/>
      <c r="U89" s="692"/>
      <c r="V89" s="692"/>
      <c r="W89" s="692"/>
      <c r="X89" s="692"/>
      <c r="Y89" s="15"/>
      <c r="Z89" s="15"/>
      <c r="AA89" s="15"/>
      <c r="AB89" s="1039" t="s">
        <v>482</v>
      </c>
      <c r="AC89" s="1040"/>
      <c r="AD89" s="1040"/>
      <c r="AE89" s="1040"/>
      <c r="AF89" s="1040"/>
      <c r="AG89" s="1040"/>
      <c r="AH89" s="1040"/>
      <c r="AI89" s="1040"/>
      <c r="AJ89" s="1040"/>
      <c r="AK89" s="1040"/>
      <c r="AL89" s="1040"/>
      <c r="AM89" s="1040"/>
      <c r="AN89" s="1040"/>
      <c r="AO89" s="1041"/>
      <c r="AP89" s="1042">
        <f>SUMIF('RC and FUNDS FOR YOU'!AK15:AK4718,"&gt;=1")</f>
        <v>0</v>
      </c>
      <c r="AQ89" s="1043"/>
      <c r="AR89" s="1043"/>
      <c r="AS89" s="1043"/>
      <c r="AT89" s="1043"/>
      <c r="AU89" s="1044"/>
      <c r="AV89" s="25"/>
      <c r="AW89" s="1067" t="s">
        <v>483</v>
      </c>
      <c r="AX89" s="1067"/>
      <c r="AY89" s="1067"/>
      <c r="AZ89" s="1067"/>
      <c r="BA89" s="1067"/>
      <c r="BB89" s="1067"/>
      <c r="BC89" s="1067"/>
      <c r="BD89" s="1067"/>
      <c r="BE89" s="1067"/>
      <c r="BF89" s="1067"/>
      <c r="BG89" s="1067"/>
      <c r="BH89" s="1067"/>
      <c r="BI89" s="1067"/>
      <c r="BJ89" s="1067"/>
      <c r="BK89" s="729">
        <f>COUNTIFS('RC and FUNDS FOR YOU'!AO15:AO4885,"&gt;=1",'RC and FUNDS FOR YOU'!AO15:AO4885,"&lt;=10000")</f>
        <v>2</v>
      </c>
      <c r="BL89" s="729"/>
      <c r="BM89" s="729"/>
      <c r="BN89" s="729"/>
      <c r="BO89" s="729"/>
      <c r="BP89" s="729"/>
    </row>
    <row r="90" spans="1:137" ht="20.100000000000001" customHeight="1" x14ac:dyDescent="0.25">
      <c r="A90" s="27">
        <f t="shared" si="17"/>
        <v>41</v>
      </c>
      <c r="B90" s="691" t="s">
        <v>460</v>
      </c>
      <c r="C90" s="691"/>
      <c r="D90" s="691"/>
      <c r="E90" s="691"/>
      <c r="F90" s="691"/>
      <c r="G90" s="692">
        <f>COUNTIFS('RC and FUNDS FOR YOU'!F15:F4718,"McDowell",'RC and FUNDS FOR YOU'!W15:W4718,"YES")</f>
        <v>0</v>
      </c>
      <c r="H90" s="692"/>
      <c r="I90" s="692"/>
      <c r="J90" s="692"/>
      <c r="K90" s="692"/>
      <c r="L90" s="692"/>
      <c r="M90" s="27">
        <f t="shared" si="16"/>
        <v>69</v>
      </c>
      <c r="N90" s="691" t="s">
        <v>461</v>
      </c>
      <c r="O90" s="691"/>
      <c r="P90" s="691"/>
      <c r="Q90" s="691"/>
      <c r="R90" s="691"/>
      <c r="S90" s="692">
        <f>COUNTIFS('RC and FUNDS FOR YOU'!F15:F4718,"Wyoming",'RC and FUNDS FOR YOU'!W15:W4718,"YES")</f>
        <v>0</v>
      </c>
      <c r="T90" s="692"/>
      <c r="U90" s="692"/>
      <c r="V90" s="692"/>
      <c r="W90" s="692"/>
      <c r="X90" s="692"/>
      <c r="Y90" s="15"/>
      <c r="Z90" s="15"/>
      <c r="AA90" s="15"/>
      <c r="AB90" s="1053" t="s">
        <v>484</v>
      </c>
      <c r="AC90" s="1054"/>
      <c r="AD90" s="1054"/>
      <c r="AE90" s="1054"/>
      <c r="AF90" s="1054"/>
      <c r="AG90" s="1054"/>
      <c r="AH90" s="1054"/>
      <c r="AI90" s="1054"/>
      <c r="AJ90" s="1054"/>
      <c r="AK90" s="1054"/>
      <c r="AL90" s="1054"/>
      <c r="AM90" s="1054"/>
      <c r="AN90" s="1054"/>
      <c r="AO90" s="1055"/>
      <c r="AP90" s="1060">
        <f>SUM('RC and FUNDS FOR YOU'!AL15:AL4718)</f>
        <v>0</v>
      </c>
      <c r="AQ90" s="1061"/>
      <c r="AR90" s="1061"/>
      <c r="AS90" s="1061"/>
      <c r="AT90" s="1061"/>
      <c r="AU90" s="1062"/>
      <c r="AV90" s="13"/>
      <c r="AW90" s="982" t="s">
        <v>485</v>
      </c>
      <c r="AX90" s="982"/>
      <c r="AY90" s="982"/>
      <c r="AZ90" s="982"/>
      <c r="BA90" s="982"/>
      <c r="BB90" s="982"/>
      <c r="BC90" s="982"/>
      <c r="BD90" s="982"/>
      <c r="BE90" s="982"/>
      <c r="BF90" s="982"/>
      <c r="BG90" s="982"/>
      <c r="BH90" s="982"/>
      <c r="BI90" s="982"/>
      <c r="BJ90" s="982"/>
      <c r="BK90" s="730">
        <f>COUNTIFS('RC and FUNDS FOR YOU'!AM15:AM4885,"&gt;=1",'RC and FUNDS FOR YOU'!AM15:AM4885,"&lt;=10000")</f>
        <v>2</v>
      </c>
      <c r="BL90" s="730"/>
      <c r="BM90" s="730"/>
      <c r="BN90" s="730"/>
      <c r="BO90" s="730"/>
      <c r="BP90" s="730"/>
    </row>
    <row r="91" spans="1:137" ht="20.100000000000001" customHeight="1" x14ac:dyDescent="0.25">
      <c r="A91" s="27">
        <f t="shared" si="17"/>
        <v>42</v>
      </c>
      <c r="B91" s="691" t="s">
        <v>463</v>
      </c>
      <c r="C91" s="691"/>
      <c r="D91" s="691"/>
      <c r="E91" s="691"/>
      <c r="F91" s="691"/>
      <c r="G91" s="692">
        <f>COUNTIFS('RC and FUNDS FOR YOU'!F15:F4718,"Mercer",'RC and FUNDS FOR YOU'!W15:W4718,"YES")</f>
        <v>0</v>
      </c>
      <c r="H91" s="692"/>
      <c r="I91" s="692"/>
      <c r="J91" s="692"/>
      <c r="K91" s="692"/>
      <c r="L91" s="692"/>
      <c r="M91" s="772" t="s">
        <v>412</v>
      </c>
      <c r="N91" s="773"/>
      <c r="O91" s="773"/>
      <c r="P91" s="773"/>
      <c r="Q91" s="773"/>
      <c r="R91" s="774"/>
      <c r="S91" s="775">
        <f>SUM(S64:S90)</f>
        <v>0</v>
      </c>
      <c r="T91" s="775"/>
      <c r="U91" s="775"/>
      <c r="V91" s="775"/>
      <c r="W91" s="775"/>
      <c r="X91" s="775"/>
      <c r="Y91" s="15"/>
      <c r="Z91" s="15"/>
      <c r="AA91" s="15"/>
      <c r="AB91" s="1049" t="s">
        <v>486</v>
      </c>
      <c r="AC91" s="1050"/>
      <c r="AD91" s="1050"/>
      <c r="AE91" s="1050"/>
      <c r="AF91" s="1050"/>
      <c r="AG91" s="1050"/>
      <c r="AH91" s="1050"/>
      <c r="AI91" s="1050"/>
      <c r="AJ91" s="1050"/>
      <c r="AK91" s="1050"/>
      <c r="AL91" s="1050"/>
      <c r="AM91" s="1050"/>
      <c r="AN91" s="1050"/>
      <c r="AO91" s="1051"/>
      <c r="AP91" s="1060">
        <f>SUMIF('RC and FUNDS FOR YOU'!AP15:AP4718,"&gt;=1")</f>
        <v>0</v>
      </c>
      <c r="AQ91" s="1061"/>
      <c r="AR91" s="1061"/>
      <c r="AS91" s="1061"/>
      <c r="AT91" s="1061"/>
      <c r="AU91" s="1062"/>
      <c r="AV91" s="13"/>
      <c r="AW91" s="1067" t="s">
        <v>487</v>
      </c>
      <c r="AX91" s="1067"/>
      <c r="AY91" s="1067"/>
      <c r="AZ91" s="1067"/>
      <c r="BA91" s="1067"/>
      <c r="BB91" s="1067"/>
      <c r="BC91" s="1067"/>
      <c r="BD91" s="1067"/>
      <c r="BE91" s="1067"/>
      <c r="BF91" s="1067"/>
      <c r="BG91" s="1067"/>
      <c r="BH91" s="1067"/>
      <c r="BI91" s="1067"/>
      <c r="BJ91" s="1067"/>
      <c r="BK91" s="729">
        <f>COUNTIFS('RC and FUNDS FOR YOU'!AQ15:AQ4885,"YES")</f>
        <v>0</v>
      </c>
      <c r="BL91" s="729"/>
      <c r="BM91" s="729"/>
      <c r="BN91" s="729"/>
      <c r="BO91" s="729"/>
      <c r="BP91" s="729"/>
    </row>
    <row r="92" spans="1:137" ht="23.25" customHeight="1" x14ac:dyDescent="0.25">
      <c r="A92" s="772" t="s">
        <v>412</v>
      </c>
      <c r="B92" s="773"/>
      <c r="C92" s="773"/>
      <c r="D92" s="773"/>
      <c r="E92" s="773"/>
      <c r="F92" s="774"/>
      <c r="G92" s="775">
        <f>SUM(G64:G91)</f>
        <v>0</v>
      </c>
      <c r="H92" s="775"/>
      <c r="I92" s="775"/>
      <c r="J92" s="775"/>
      <c r="K92" s="775"/>
      <c r="L92" s="775"/>
      <c r="M92" s="740" t="s">
        <v>488</v>
      </c>
      <c r="N92" s="741"/>
      <c r="O92" s="741"/>
      <c r="P92" s="741"/>
      <c r="Q92" s="741"/>
      <c r="R92" s="742"/>
      <c r="S92" s="743">
        <f>G92+S91</f>
        <v>0</v>
      </c>
      <c r="T92" s="743"/>
      <c r="U92" s="743"/>
      <c r="V92" s="743"/>
      <c r="W92" s="743"/>
      <c r="X92" s="743"/>
      <c r="AB92" s="1064" t="s">
        <v>489</v>
      </c>
      <c r="AC92" s="1065"/>
      <c r="AD92" s="1065"/>
      <c r="AE92" s="1065"/>
      <c r="AF92" s="1065"/>
      <c r="AG92" s="1065"/>
      <c r="AH92" s="1065"/>
      <c r="AI92" s="1065"/>
      <c r="AJ92" s="1065"/>
      <c r="AK92" s="1065"/>
      <c r="AL92" s="1065"/>
      <c r="AM92" s="1065"/>
      <c r="AN92" s="1065"/>
      <c r="AO92" s="1066"/>
      <c r="AP92" s="1046">
        <f>SUMIF('RC and FUNDS FOR YOU'!AM15:AM4718,"&gt;=1")</f>
        <v>491.91999999999996</v>
      </c>
      <c r="AQ92" s="1047"/>
      <c r="AR92" s="1047"/>
      <c r="AS92" s="1047"/>
      <c r="AT92" s="1047"/>
      <c r="AU92" s="1048"/>
      <c r="AV92" s="13"/>
      <c r="AW92" s="982"/>
      <c r="AX92" s="982"/>
      <c r="AY92" s="982"/>
      <c r="AZ92" s="982"/>
      <c r="BA92" s="982"/>
      <c r="BB92" s="982"/>
      <c r="BC92" s="982"/>
      <c r="BD92" s="982"/>
      <c r="BE92" s="982"/>
      <c r="BF92" s="982"/>
      <c r="BG92" s="982"/>
      <c r="BH92" s="982"/>
      <c r="BI92" s="982"/>
      <c r="BJ92" s="982"/>
      <c r="BK92" s="730"/>
      <c r="BL92" s="730"/>
      <c r="BM92" s="730"/>
      <c r="BN92" s="730"/>
      <c r="BO92" s="730"/>
      <c r="BP92" s="730"/>
    </row>
    <row r="93" spans="1:137" ht="20.100000000000001" customHeight="1" x14ac:dyDescent="0.25">
      <c r="AB93" s="1045" t="s">
        <v>490</v>
      </c>
      <c r="AC93" s="1045"/>
      <c r="AD93" s="1045"/>
      <c r="AE93" s="1045"/>
      <c r="AF93" s="1045"/>
      <c r="AG93" s="1045"/>
      <c r="AH93" s="1045"/>
      <c r="AI93" s="1045"/>
      <c r="AJ93" s="1045"/>
      <c r="AK93" s="1045"/>
      <c r="AL93" s="1045"/>
      <c r="AM93" s="1045"/>
      <c r="AN93" s="1045"/>
      <c r="AO93" s="1045"/>
      <c r="AP93" s="1046">
        <f>SUMIF('RC and FUNDS FOR YOU'!AO15:AO4718,"&gt;=1")</f>
        <v>815.43</v>
      </c>
      <c r="AQ93" s="1047"/>
      <c r="AR93" s="1047"/>
      <c r="AS93" s="1047"/>
      <c r="AT93" s="1047"/>
      <c r="AU93" s="1048"/>
    </row>
    <row r="94" spans="1:137" ht="21" x14ac:dyDescent="0.25">
      <c r="AB94" s="1035" t="s">
        <v>378</v>
      </c>
      <c r="AC94" s="1035"/>
      <c r="AD94" s="1035"/>
      <c r="AE94" s="1035"/>
      <c r="AF94" s="1035"/>
      <c r="AG94" s="1035"/>
      <c r="AH94" s="1035"/>
      <c r="AI94" s="1035"/>
      <c r="AJ94" s="1035"/>
      <c r="AK94" s="1035"/>
      <c r="AL94" s="1035"/>
      <c r="AM94" s="1035"/>
      <c r="AN94" s="1035"/>
      <c r="AO94" s="1035"/>
      <c r="AP94" s="1036">
        <f>AP87+AP91-AP93</f>
        <v>199184.57</v>
      </c>
      <c r="AQ94" s="1037"/>
      <c r="AR94" s="1037"/>
      <c r="AS94" s="1037"/>
      <c r="AT94" s="1037"/>
      <c r="AU94" s="1038"/>
    </row>
    <row r="95" spans="1:137" ht="21" x14ac:dyDescent="0.25">
      <c r="AB95" s="143"/>
      <c r="AC95" s="143"/>
      <c r="AD95" s="143"/>
      <c r="AE95" s="143"/>
      <c r="AF95" s="143"/>
      <c r="AG95" s="143"/>
      <c r="AH95" s="143"/>
      <c r="AI95" s="143"/>
      <c r="AJ95" s="143"/>
      <c r="AK95" s="143"/>
      <c r="AL95" s="143"/>
      <c r="AM95" s="143"/>
      <c r="AN95" s="143"/>
      <c r="AO95" s="143"/>
      <c r="AP95" s="144"/>
      <c r="AQ95" s="144"/>
      <c r="AR95" s="144"/>
      <c r="AS95" s="144"/>
      <c r="AT95" s="144"/>
      <c r="AU95" s="144"/>
    </row>
    <row r="96" spans="1:137" ht="21" x14ac:dyDescent="0.25">
      <c r="A96" s="765" t="s">
        <v>491</v>
      </c>
      <c r="B96" s="765"/>
      <c r="C96" s="765"/>
      <c r="D96" s="765"/>
      <c r="E96" s="765"/>
      <c r="F96" s="765"/>
      <c r="G96" s="765"/>
      <c r="H96" s="765"/>
      <c r="I96" s="765"/>
      <c r="J96" s="765"/>
      <c r="K96" s="765"/>
      <c r="L96" s="765"/>
      <c r="M96" s="765"/>
      <c r="N96" s="765"/>
      <c r="O96" s="765"/>
      <c r="P96" s="765"/>
      <c r="Q96" s="765"/>
      <c r="R96" s="765"/>
      <c r="S96" s="765"/>
      <c r="T96" s="765"/>
      <c r="U96" s="765"/>
      <c r="V96" s="765"/>
      <c r="W96" s="765"/>
      <c r="X96" s="765"/>
      <c r="Y96" s="765"/>
      <c r="Z96" s="765"/>
      <c r="AA96" s="765"/>
      <c r="AB96" s="765"/>
      <c r="AC96" s="765"/>
      <c r="AD96" s="765"/>
      <c r="AE96" s="765"/>
      <c r="AF96" s="765"/>
      <c r="AG96" s="765"/>
      <c r="AH96" s="765"/>
      <c r="AI96" s="765"/>
      <c r="AJ96" s="765"/>
      <c r="AK96" s="765"/>
      <c r="AL96" s="765"/>
      <c r="AM96" s="765"/>
      <c r="AN96" s="765"/>
      <c r="AO96" s="765"/>
      <c r="AP96" s="765"/>
      <c r="AQ96" s="765"/>
      <c r="AR96" s="765"/>
      <c r="AS96" s="765"/>
      <c r="AT96" s="765"/>
      <c r="AU96" s="765"/>
      <c r="AV96" s="765"/>
      <c r="AW96" s="765"/>
      <c r="AX96" s="765"/>
      <c r="AY96" s="765"/>
    </row>
    <row r="97" spans="1:86" ht="21" x14ac:dyDescent="0.25">
      <c r="AB97" s="143"/>
      <c r="AC97" s="143"/>
      <c r="AD97" s="143"/>
      <c r="AE97" s="143"/>
      <c r="AF97" s="143"/>
      <c r="AG97" s="143"/>
      <c r="AH97" s="143"/>
      <c r="AI97" s="143"/>
      <c r="AJ97" s="143"/>
      <c r="AK97" s="143"/>
      <c r="AL97" s="143"/>
      <c r="AM97" s="143"/>
      <c r="AN97" s="143"/>
      <c r="AO97" s="143"/>
      <c r="AP97" s="144"/>
      <c r="AQ97" s="144"/>
      <c r="AR97" s="144"/>
      <c r="AS97" s="144"/>
      <c r="AT97" s="144"/>
      <c r="AU97" s="144"/>
    </row>
    <row r="98" spans="1:86" ht="21" x14ac:dyDescent="0.25">
      <c r="AB98" s="143"/>
      <c r="AC98" s="143"/>
      <c r="AD98" s="143"/>
      <c r="AE98" s="143"/>
      <c r="AF98" s="143"/>
      <c r="AG98" s="143"/>
      <c r="AH98" s="143"/>
      <c r="AI98" s="143"/>
      <c r="AJ98" s="143"/>
      <c r="AK98" s="143"/>
      <c r="AL98" s="143"/>
      <c r="AM98" s="143"/>
      <c r="AN98" s="143"/>
      <c r="AO98" s="143"/>
      <c r="AP98" s="144"/>
      <c r="AQ98" s="144"/>
      <c r="AR98" s="144"/>
      <c r="AS98" s="144"/>
      <c r="AT98" s="144"/>
      <c r="AU98" s="144"/>
    </row>
    <row r="99" spans="1:86" ht="50.1" customHeight="1" x14ac:dyDescent="0.25">
      <c r="A99" s="776" t="s">
        <v>492</v>
      </c>
      <c r="B99" s="777"/>
      <c r="C99" s="777"/>
      <c r="D99" s="777"/>
      <c r="E99" s="777"/>
      <c r="F99" s="777"/>
      <c r="G99" s="777"/>
      <c r="H99" s="777"/>
      <c r="I99" s="777"/>
      <c r="J99" s="777"/>
      <c r="K99" s="778"/>
      <c r="L99" s="779" t="s">
        <v>341</v>
      </c>
      <c r="M99" s="779"/>
      <c r="N99" s="779"/>
      <c r="O99" s="779"/>
      <c r="P99" s="780" t="s">
        <v>342</v>
      </c>
      <c r="Q99" s="781"/>
      <c r="R99" s="781"/>
      <c r="S99" s="781"/>
      <c r="T99" s="780" t="s">
        <v>343</v>
      </c>
      <c r="U99" s="781"/>
      <c r="V99" s="781"/>
      <c r="W99" s="781"/>
      <c r="X99" s="780" t="s">
        <v>344</v>
      </c>
      <c r="Y99" s="781"/>
      <c r="Z99" s="781"/>
      <c r="AA99" s="781"/>
      <c r="AB99" s="780" t="s">
        <v>345</v>
      </c>
      <c r="AC99" s="781"/>
      <c r="AD99" s="781"/>
      <c r="AE99" s="781"/>
      <c r="AF99" s="780" t="s">
        <v>346</v>
      </c>
      <c r="AG99" s="781"/>
      <c r="AH99" s="781"/>
      <c r="AI99" s="781"/>
      <c r="AJ99" s="780" t="s">
        <v>347</v>
      </c>
      <c r="AK99" s="781"/>
      <c r="AL99" s="781"/>
      <c r="AM99" s="781"/>
      <c r="AN99" s="780" t="s">
        <v>348</v>
      </c>
      <c r="AO99" s="781"/>
      <c r="AP99" s="781"/>
      <c r="AQ99" s="781"/>
      <c r="AR99" s="780" t="s">
        <v>349</v>
      </c>
      <c r="AS99" s="781"/>
      <c r="AT99" s="781"/>
      <c r="AU99" s="781"/>
      <c r="AV99" s="780" t="s">
        <v>350</v>
      </c>
      <c r="AW99" s="781"/>
      <c r="AX99" s="781"/>
      <c r="AY99" s="781"/>
      <c r="AZ99" s="780" t="s">
        <v>351</v>
      </c>
      <c r="BA99" s="781"/>
      <c r="BB99" s="781"/>
      <c r="BC99" s="781"/>
      <c r="BD99" s="780" t="s">
        <v>352</v>
      </c>
      <c r="BE99" s="781"/>
      <c r="BF99" s="781"/>
      <c r="BG99" s="781"/>
      <c r="BH99" s="780" t="s">
        <v>353</v>
      </c>
      <c r="BI99" s="781"/>
      <c r="BJ99" s="781"/>
      <c r="BK99" s="781"/>
      <c r="BL99" s="780"/>
      <c r="BM99" s="781"/>
      <c r="BN99" s="781"/>
      <c r="BO99" s="781"/>
      <c r="BP99" s="779" t="s">
        <v>355</v>
      </c>
      <c r="BQ99" s="779"/>
      <c r="BR99" s="779"/>
      <c r="BS99" s="779"/>
    </row>
    <row r="100" spans="1:86" ht="30" customHeight="1" x14ac:dyDescent="0.25">
      <c r="A100" s="776" t="s">
        <v>493</v>
      </c>
      <c r="B100" s="777"/>
      <c r="C100" s="777"/>
      <c r="D100" s="777"/>
      <c r="E100" s="777"/>
      <c r="F100" s="777"/>
      <c r="G100" s="777"/>
      <c r="H100" s="777"/>
      <c r="I100" s="777"/>
      <c r="J100" s="777"/>
      <c r="K100" s="778"/>
      <c r="L100" s="766">
        <f>COUNTIFS('Neuropsychological Evals'!B14:B4897,"&gt;=07/01/2000",'Neuropsychological Evals'!B14:B4897,"&lt;=06/30/2009")</f>
        <v>0</v>
      </c>
      <c r="M100" s="767"/>
      <c r="N100" s="767"/>
      <c r="O100" s="768"/>
      <c r="P100" s="766">
        <f>COUNTIFS('Neuropsychological Evals'!B14:B4897,"&gt;=07/01/2009",'Neuropsychological Evals'!B14:B4897,"&lt;=06/30/2010")</f>
        <v>0</v>
      </c>
      <c r="Q100" s="767"/>
      <c r="R100" s="767"/>
      <c r="S100" s="768"/>
      <c r="T100" s="766">
        <f>COUNTIFS('Neuropsychological Evals'!B14:B4897,"&gt;=07/01/2010",'Neuropsychological Evals'!B14:B4897,"&lt;=06/30/2011")</f>
        <v>0</v>
      </c>
      <c r="U100" s="767"/>
      <c r="V100" s="767"/>
      <c r="W100" s="768"/>
      <c r="X100" s="766">
        <f>COUNTIFS('Neuropsychological Evals'!B14:B4897,"&gt;=07/01/2011",'Neuropsychological Evals'!B14:B4897,"&lt;=06/30/2012")</f>
        <v>0</v>
      </c>
      <c r="Y100" s="767"/>
      <c r="Z100" s="767"/>
      <c r="AA100" s="768"/>
      <c r="AB100" s="766">
        <f>COUNTIFS('Neuropsychological Evals'!B14:B4897,"&gt;=07/01/2012",'Neuropsychological Evals'!B14:B4897,"&lt;=06/30/2013")</f>
        <v>0</v>
      </c>
      <c r="AC100" s="767"/>
      <c r="AD100" s="767"/>
      <c r="AE100" s="768"/>
      <c r="AF100" s="766">
        <f>COUNTIFS('Neuropsychological Evals'!B14:B4897,"&gt;=07/01/2013",'Neuropsychological Evals'!B14:B4897,"&lt;=06/30/2014")</f>
        <v>0</v>
      </c>
      <c r="AG100" s="767"/>
      <c r="AH100" s="767"/>
      <c r="AI100" s="768"/>
      <c r="AJ100" s="766">
        <f>COUNTIFS('Neuropsychological Evals'!B14:B4897,"&gt;=07/01/2014",'Neuropsychological Evals'!B14:B4897,"&lt;=06/30/2015")</f>
        <v>0</v>
      </c>
      <c r="AK100" s="767"/>
      <c r="AL100" s="767"/>
      <c r="AM100" s="768"/>
      <c r="AN100" s="766">
        <f>COUNTIFS('Neuropsychological Evals'!B14:B4897,"&gt;=07/01/2015",'Neuropsychological Evals'!B14:B4897,"&lt;=06/30/2016")</f>
        <v>0</v>
      </c>
      <c r="AO100" s="767"/>
      <c r="AP100" s="767"/>
      <c r="AQ100" s="768"/>
      <c r="AR100" s="766">
        <f>COUNTIFS('Neuropsychological Evals'!B14:B4897,"&gt;=07/01/2016",'Neuropsychological Evals'!B14:B4897,"&lt;=06/30/2017")</f>
        <v>0</v>
      </c>
      <c r="AS100" s="767"/>
      <c r="AT100" s="767"/>
      <c r="AU100" s="768"/>
      <c r="AV100" s="766">
        <f>COUNTIFS('Neuropsychological Evals'!B14:B4897,"&gt;=07/01/2017",'Neuropsychological Evals'!B14:B4897,"&lt;=06/30/2018")</f>
        <v>0</v>
      </c>
      <c r="AW100" s="767"/>
      <c r="AX100" s="767"/>
      <c r="AY100" s="768"/>
      <c r="AZ100" s="766">
        <f>COUNTIFS('Neuropsychological Evals'!B14:B4897,"&gt;=07/01/2018",'Neuropsychological Evals'!B14:B4897,"&lt;=06/30/2019")</f>
        <v>0</v>
      </c>
      <c r="BA100" s="767"/>
      <c r="BB100" s="767"/>
      <c r="BC100" s="768"/>
      <c r="BD100" s="766">
        <f>COUNTIFS('Neuropsychological Evals'!B14:B4897,"&gt;=07/01/2019",'Neuropsychological Evals'!B14:B4897,"&lt;=06/30/2020")</f>
        <v>0</v>
      </c>
      <c r="BE100" s="767"/>
      <c r="BF100" s="767"/>
      <c r="BG100" s="768"/>
      <c r="BH100" s="766">
        <f>COUNTIFS('Neuropsychological Evals'!B15:B4897,"&gt;=07/01/2020",'Neuropsychological Evals'!B15:B4897,"&lt;=06/30/2021")</f>
        <v>0</v>
      </c>
      <c r="BI100" s="767"/>
      <c r="BJ100" s="767"/>
      <c r="BK100" s="768"/>
      <c r="BL100" s="766"/>
      <c r="BM100" s="767"/>
      <c r="BN100" s="767"/>
      <c r="BO100" s="768"/>
      <c r="BP100" s="1052">
        <f>SUM(L100:BO100)</f>
        <v>0</v>
      </c>
      <c r="BQ100" s="1052"/>
      <c r="BR100" s="1052"/>
      <c r="BS100" s="1052"/>
    </row>
    <row r="101" spans="1:86" ht="30" customHeight="1" x14ac:dyDescent="0.25">
      <c r="A101" s="769" t="s">
        <v>307</v>
      </c>
      <c r="B101" s="770"/>
      <c r="C101" s="770"/>
      <c r="D101" s="770"/>
      <c r="E101" s="770"/>
      <c r="F101" s="770"/>
      <c r="G101" s="770"/>
      <c r="H101" s="770"/>
      <c r="I101" s="770"/>
      <c r="J101" s="770"/>
      <c r="K101" s="771"/>
      <c r="L101" s="766">
        <f>COUNTIFS('Neuropsychological Evals'!J14:J4897,"&gt;=07/01/2000",'Neuropsychological Evals'!J14:J4897,"&lt;=06/30/2009")</f>
        <v>0</v>
      </c>
      <c r="M101" s="767"/>
      <c r="N101" s="767"/>
      <c r="O101" s="768"/>
      <c r="P101" s="766">
        <f>COUNTIFS('Neuropsychological Evals'!J14:J4897,"&gt;=07/01/2009",'Neuropsychological Evals'!J14:J4897,"&lt;=06/30/2010")</f>
        <v>0</v>
      </c>
      <c r="Q101" s="767"/>
      <c r="R101" s="767"/>
      <c r="S101" s="768"/>
      <c r="T101" s="766">
        <f>COUNTIFS('Neuropsychological Evals'!J14:J4897,"&gt;=07/01/2010",'Neuropsychological Evals'!J14:J4897,"&lt;=06/30/2011")</f>
        <v>0</v>
      </c>
      <c r="U101" s="767"/>
      <c r="V101" s="767"/>
      <c r="W101" s="768"/>
      <c r="X101" s="766">
        <f>COUNTIFS('Neuropsychological Evals'!J14:J4897,"&gt;=07/01/2011",'Neuropsychological Evals'!J14:J4897,"&lt;=06/30/2012")</f>
        <v>0</v>
      </c>
      <c r="Y101" s="767"/>
      <c r="Z101" s="767"/>
      <c r="AA101" s="768"/>
      <c r="AB101" s="766">
        <f>COUNTIFS('Neuropsychological Evals'!J14:J4897,"&gt;=07/01/2012",'Neuropsychological Evals'!J14:J4897,"&lt;=06/30/2013")</f>
        <v>0</v>
      </c>
      <c r="AC101" s="767"/>
      <c r="AD101" s="767"/>
      <c r="AE101" s="768"/>
      <c r="AF101" s="766">
        <f>COUNTIFS('Neuropsychological Evals'!J14:J4897,"&gt;=07/01/2013",'Neuropsychological Evals'!J14:J4897,"&lt;=06/30/2014")</f>
        <v>0</v>
      </c>
      <c r="AG101" s="767"/>
      <c r="AH101" s="767"/>
      <c r="AI101" s="768"/>
      <c r="AJ101" s="766">
        <f>COUNTIFS('Neuropsychological Evals'!J14:J4897,"&gt;=07/01/2014",'Neuropsychological Evals'!J14:J4897,"&lt;=06/30/2015")</f>
        <v>0</v>
      </c>
      <c r="AK101" s="767"/>
      <c r="AL101" s="767"/>
      <c r="AM101" s="768"/>
      <c r="AN101" s="766">
        <f>COUNTIFS('Neuropsychological Evals'!J14:J4897,"&gt;=07/01/2015",'Neuropsychological Evals'!J14:J4897,"&lt;=06/30/2016")</f>
        <v>0</v>
      </c>
      <c r="AO101" s="767"/>
      <c r="AP101" s="767"/>
      <c r="AQ101" s="768"/>
      <c r="AR101" s="766">
        <f>COUNTIFS('Neuropsychological Evals'!J14:J4897,"&gt;=07/01/2016",'Neuropsychological Evals'!J14:J4897,"&lt;=06/30/2017")</f>
        <v>0</v>
      </c>
      <c r="AS101" s="767"/>
      <c r="AT101" s="767"/>
      <c r="AU101" s="768"/>
      <c r="AV101" s="766">
        <f>COUNTIFS('Neuropsychological Evals'!J14:J4897,"&gt;=07/01/2017",'Neuropsychological Evals'!J14:J4897,"&lt;=06/30/2018")</f>
        <v>0</v>
      </c>
      <c r="AW101" s="767"/>
      <c r="AX101" s="767"/>
      <c r="AY101" s="768"/>
      <c r="AZ101" s="766">
        <f>COUNTIFS('Neuropsychological Evals'!J14:J4897,"&gt;=07/01/2018",'Neuropsychological Evals'!J14:J4897,"&lt;=06/30/2019")</f>
        <v>0</v>
      </c>
      <c r="BA101" s="767"/>
      <c r="BB101" s="767"/>
      <c r="BC101" s="768"/>
      <c r="BD101" s="766">
        <f>COUNTIFS('Neuropsychological Evals'!J14:J4897,"&gt;=07/01/2019",'Neuropsychological Evals'!J14:J4897,"&lt;=06/30/2020")</f>
        <v>0</v>
      </c>
      <c r="BE101" s="767"/>
      <c r="BF101" s="767"/>
      <c r="BG101" s="768"/>
      <c r="BH101" s="766">
        <f>COUNTIFS('Neuropsychological Evals'!J14:J4897,"&gt;=07/01/2020",'Neuropsychological Evals'!J14:J4897,"&lt;=06/30/2021")</f>
        <v>0</v>
      </c>
      <c r="BI101" s="767"/>
      <c r="BJ101" s="767"/>
      <c r="BK101" s="768"/>
      <c r="BL101" s="766"/>
      <c r="BM101" s="767"/>
      <c r="BN101" s="767"/>
      <c r="BO101" s="768"/>
      <c r="BP101" s="1052">
        <f>SUM(L101:BO101)</f>
        <v>0</v>
      </c>
      <c r="BQ101" s="1052"/>
      <c r="BR101" s="1052"/>
      <c r="BS101" s="1052"/>
    </row>
    <row r="102" spans="1:86" ht="30" customHeight="1" x14ac:dyDescent="0.25">
      <c r="A102" s="769" t="s">
        <v>494</v>
      </c>
      <c r="B102" s="770"/>
      <c r="C102" s="770"/>
      <c r="D102" s="770"/>
      <c r="E102" s="770"/>
      <c r="F102" s="770"/>
      <c r="G102" s="770"/>
      <c r="H102" s="770"/>
      <c r="I102" s="770"/>
      <c r="J102" s="770"/>
      <c r="K102" s="771"/>
      <c r="L102" s="766">
        <f>COUNTIFS('Neuropsychological Evals'!L14:L4897,"&gt;=07/01/2000",'Neuropsychological Evals'!L14:L4897,"&lt;=06/30/2009")</f>
        <v>0</v>
      </c>
      <c r="M102" s="767"/>
      <c r="N102" s="767"/>
      <c r="O102" s="768"/>
      <c r="P102" s="766">
        <f>COUNTIFS('Neuropsychological Evals'!L14:L4897,"&gt;=07/01/2009",'Neuropsychological Evals'!L14:L4897,"&lt;=06/30/2010")</f>
        <v>0</v>
      </c>
      <c r="Q102" s="767"/>
      <c r="R102" s="767"/>
      <c r="S102" s="768"/>
      <c r="T102" s="766">
        <f>COUNTIFS('Neuropsychological Evals'!L14:L4897,"&gt;=07/01/2010",'Neuropsychological Evals'!L14:L4897,"&lt;=06/30/2011")</f>
        <v>0</v>
      </c>
      <c r="U102" s="767"/>
      <c r="V102" s="767"/>
      <c r="W102" s="768"/>
      <c r="X102" s="766">
        <f>COUNTIFS('Neuropsychological Evals'!L14:L4897,"&gt;=07/01/2011",'Neuropsychological Evals'!L14:L4897,"&lt;=06/30/2012")</f>
        <v>0</v>
      </c>
      <c r="Y102" s="767"/>
      <c r="Z102" s="767"/>
      <c r="AA102" s="768"/>
      <c r="AB102" s="766">
        <f>COUNTIFS('Neuropsychological Evals'!L14:L4897,"&gt;=07/01/2012",'Neuropsychological Evals'!L14:L4897,"&lt;=06/30/2013")</f>
        <v>0</v>
      </c>
      <c r="AC102" s="767"/>
      <c r="AD102" s="767"/>
      <c r="AE102" s="768"/>
      <c r="AF102" s="766">
        <f>COUNTIFS('Neuropsychological Evals'!B14:B4897,"&gt;=L15:L4897",'Neuropsychological Evals'!L14:L4897,"&lt;=06/30/2014")</f>
        <v>0</v>
      </c>
      <c r="AG102" s="767"/>
      <c r="AH102" s="767"/>
      <c r="AI102" s="768"/>
      <c r="AJ102" s="766">
        <f>COUNTIFS('Neuropsychological Evals'!L14:L4897,"&gt;=07/01/2014",'Neuropsychological Evals'!L14:L4897,"&lt;=06/30/2015")</f>
        <v>0</v>
      </c>
      <c r="AK102" s="767"/>
      <c r="AL102" s="767"/>
      <c r="AM102" s="768"/>
      <c r="AN102" s="766">
        <f>COUNTIFS('Neuropsychological Evals'!L14:L4897,"&gt;=07/01/2015",'Neuropsychological Evals'!L14:L4897,"&lt;=06/30/2016")</f>
        <v>0</v>
      </c>
      <c r="AO102" s="767"/>
      <c r="AP102" s="767"/>
      <c r="AQ102" s="768"/>
      <c r="AR102" s="766">
        <f>COUNTIFS('Neuropsychological Evals'!L14:L4897,"&gt;=07/01/2016",'Neuropsychological Evals'!L14:L4897,"&lt;=06/30/2017")</f>
        <v>0</v>
      </c>
      <c r="AS102" s="767"/>
      <c r="AT102" s="767"/>
      <c r="AU102" s="768"/>
      <c r="AV102" s="766">
        <f>COUNTIFS('Neuropsychological Evals'!L14:L4897,"&gt;=07/01/2017",'Neuropsychological Evals'!L14:L4897,"&lt;=06/30/2018")</f>
        <v>0</v>
      </c>
      <c r="AW102" s="767"/>
      <c r="AX102" s="767"/>
      <c r="AY102" s="768"/>
      <c r="AZ102" s="766">
        <f>COUNTIFS('Neuropsychological Evals'!L14:L4897,"&gt;=07/01/2018",'Neuropsychological Evals'!L14:L4897,"&lt;=06/30/2019")</f>
        <v>0</v>
      </c>
      <c r="BA102" s="767"/>
      <c r="BB102" s="767"/>
      <c r="BC102" s="768"/>
      <c r="BD102" s="766">
        <f>COUNTIFS('Neuropsychological Evals'!L14:L4897,"&gt;=07/01/2019",'Neuropsychological Evals'!L14:L4897,"&lt;=06/30/2020")</f>
        <v>0</v>
      </c>
      <c r="BE102" s="767"/>
      <c r="BF102" s="767"/>
      <c r="BG102" s="768"/>
      <c r="BH102" s="766">
        <f>COUNTIFS('Neuropsychological Evals'!L14:L4897,"&gt;=07/01/2020",'Neuropsychological Evals'!L14:L4897,"&lt;=06/30/2021")</f>
        <v>0</v>
      </c>
      <c r="BI102" s="767"/>
      <c r="BJ102" s="767"/>
      <c r="BK102" s="768"/>
      <c r="BL102" s="766"/>
      <c r="BM102" s="767"/>
      <c r="BN102" s="767"/>
      <c r="BO102" s="768"/>
      <c r="BP102" s="1052">
        <f>SUM(L102:BO102)</f>
        <v>0</v>
      </c>
      <c r="BQ102" s="1052"/>
      <c r="BR102" s="1052"/>
      <c r="BS102" s="1052"/>
    </row>
    <row r="103" spans="1:86" ht="21" x14ac:dyDescent="0.25">
      <c r="AB103" s="143"/>
      <c r="AC103" s="143"/>
      <c r="AD103" s="143"/>
      <c r="AE103" s="143"/>
      <c r="AF103" s="143"/>
      <c r="AG103" s="143"/>
      <c r="AH103" s="143"/>
      <c r="AI103" s="143"/>
      <c r="AJ103" s="143"/>
      <c r="AK103" s="143"/>
      <c r="AL103" s="143"/>
      <c r="AM103" s="143"/>
      <c r="AN103" s="143"/>
      <c r="AO103" s="143"/>
      <c r="AP103" s="144"/>
      <c r="AQ103" s="144"/>
      <c r="AR103" s="144"/>
      <c r="AS103" s="144"/>
      <c r="AT103" s="144"/>
      <c r="AU103" s="144"/>
    </row>
    <row r="104" spans="1:86" ht="21" x14ac:dyDescent="0.25">
      <c r="AB104" s="143"/>
      <c r="AC104" s="143"/>
      <c r="AD104" s="143"/>
      <c r="AE104" s="143"/>
      <c r="AF104" s="143"/>
      <c r="AG104" s="143"/>
      <c r="AH104" s="143"/>
      <c r="AI104" s="143"/>
      <c r="AJ104" s="143"/>
      <c r="AK104" s="143"/>
      <c r="AL104" s="143"/>
      <c r="AM104" s="143"/>
      <c r="AN104" s="143"/>
      <c r="AO104" s="143"/>
      <c r="AP104" s="144"/>
      <c r="AQ104" s="144"/>
      <c r="AR104" s="144"/>
      <c r="AS104" s="144"/>
      <c r="AT104" s="144"/>
      <c r="AU104" s="144"/>
    </row>
    <row r="105" spans="1:86" ht="21" x14ac:dyDescent="0.25">
      <c r="AB105" s="143"/>
      <c r="AC105" s="143"/>
      <c r="AD105" s="143"/>
      <c r="AE105" s="143"/>
      <c r="AF105" s="143"/>
      <c r="AG105" s="143"/>
      <c r="AH105" s="143"/>
      <c r="AI105" s="143"/>
      <c r="AJ105" s="143"/>
      <c r="AK105" s="143"/>
      <c r="AL105" s="143"/>
      <c r="AM105" s="143"/>
      <c r="AN105" s="143"/>
      <c r="AO105" s="143"/>
      <c r="AP105" s="144"/>
      <c r="AQ105" s="144"/>
      <c r="AR105" s="144"/>
      <c r="AS105" s="144"/>
      <c r="AT105" s="144"/>
      <c r="AU105" s="144"/>
    </row>
    <row r="106" spans="1:86" ht="21" x14ac:dyDescent="0.25">
      <c r="AB106" s="143"/>
      <c r="AC106" s="143"/>
      <c r="AD106" s="143"/>
      <c r="AE106" s="143"/>
      <c r="AF106" s="143"/>
      <c r="AG106" s="143"/>
      <c r="AH106" s="143"/>
      <c r="AI106" s="143"/>
      <c r="AJ106" s="143"/>
      <c r="AK106" s="143"/>
      <c r="AL106" s="143"/>
      <c r="AM106" s="143"/>
      <c r="AN106" s="143"/>
      <c r="AO106" s="143"/>
      <c r="AP106" s="144"/>
      <c r="AQ106" s="144"/>
      <c r="AR106" s="144"/>
      <c r="AS106" s="144"/>
      <c r="AT106" s="144"/>
      <c r="AU106" s="144"/>
    </row>
    <row r="107" spans="1:86" ht="21" x14ac:dyDescent="0.25">
      <c r="AB107" s="143"/>
      <c r="AC107" s="143"/>
      <c r="AD107" s="143"/>
      <c r="AE107" s="143"/>
      <c r="AF107" s="143"/>
      <c r="AG107" s="143"/>
      <c r="AH107" s="143"/>
      <c r="AI107" s="143"/>
      <c r="AJ107" s="143"/>
      <c r="AK107" s="143"/>
      <c r="AL107" s="143"/>
      <c r="AM107" s="143"/>
      <c r="AN107" s="143"/>
      <c r="AO107" s="143"/>
      <c r="AP107" s="144"/>
      <c r="AQ107" s="144"/>
      <c r="AR107" s="144"/>
      <c r="AS107" s="144"/>
      <c r="AT107" s="144"/>
      <c r="AU107" s="144"/>
    </row>
    <row r="108" spans="1:86" ht="21" x14ac:dyDescent="0.25">
      <c r="AB108" s="143"/>
      <c r="AC108" s="143"/>
      <c r="AD108" s="143"/>
      <c r="AE108" s="143"/>
      <c r="AF108" s="143"/>
      <c r="AG108" s="143"/>
      <c r="AH108" s="143"/>
      <c r="AI108" s="143"/>
      <c r="AJ108" s="143"/>
      <c r="AK108" s="143"/>
      <c r="AL108" s="143"/>
      <c r="AM108" s="143"/>
      <c r="AN108" s="143"/>
      <c r="AO108" s="143"/>
      <c r="AP108" s="144"/>
      <c r="AQ108" s="144"/>
      <c r="AR108" s="144"/>
      <c r="AS108" s="144"/>
      <c r="AT108" s="144"/>
      <c r="AU108" s="144"/>
    </row>
    <row r="109" spans="1:86" ht="21" x14ac:dyDescent="0.35">
      <c r="A109" s="761" t="s">
        <v>495</v>
      </c>
      <c r="B109" s="762"/>
      <c r="C109" s="762"/>
      <c r="D109" s="762"/>
      <c r="E109" s="762"/>
      <c r="F109" s="762"/>
      <c r="G109" s="762"/>
      <c r="H109" s="762"/>
      <c r="I109" s="762"/>
      <c r="J109" s="762"/>
      <c r="K109" s="762"/>
      <c r="L109" s="762"/>
      <c r="M109" s="762"/>
      <c r="N109" s="762"/>
      <c r="O109" s="762"/>
      <c r="P109" s="762"/>
      <c r="Q109" s="762"/>
      <c r="R109" s="762"/>
      <c r="S109" s="762"/>
      <c r="T109" s="762"/>
      <c r="U109" s="762"/>
      <c r="V109" s="762"/>
      <c r="W109" s="762"/>
      <c r="X109" s="762"/>
      <c r="Y109" s="14"/>
      <c r="Z109" s="14"/>
      <c r="AA109" s="14"/>
      <c r="BQ109" s="43"/>
      <c r="BR109" s="43"/>
      <c r="BS109" s="43"/>
      <c r="BT109" s="43"/>
      <c r="BU109" s="43"/>
      <c r="BV109" s="43"/>
      <c r="BW109" s="43"/>
      <c r="BX109" s="43"/>
      <c r="BY109" s="43"/>
      <c r="BZ109" s="43"/>
      <c r="CA109" s="43"/>
      <c r="CB109" s="43"/>
      <c r="CC109" s="43"/>
      <c r="CD109" s="43"/>
      <c r="CE109" s="43"/>
      <c r="CF109" s="43"/>
      <c r="CG109" s="43"/>
      <c r="CH109" s="43"/>
    </row>
    <row r="110" spans="1:86" ht="45" customHeight="1" x14ac:dyDescent="0.25">
      <c r="A110" s="763"/>
      <c r="B110" s="764"/>
      <c r="C110" s="764"/>
      <c r="D110" s="764"/>
      <c r="E110" s="764"/>
      <c r="F110" s="764"/>
      <c r="G110" s="764"/>
      <c r="H110" s="764"/>
      <c r="I110" s="764"/>
      <c r="J110" s="764"/>
      <c r="K110" s="764"/>
      <c r="L110" s="764"/>
      <c r="M110" s="764"/>
      <c r="N110" s="764"/>
      <c r="O110" s="764"/>
      <c r="P110" s="764"/>
      <c r="Q110" s="764"/>
      <c r="R110" s="764"/>
      <c r="S110" s="764"/>
      <c r="T110" s="764"/>
      <c r="U110" s="764"/>
      <c r="V110" s="764"/>
      <c r="W110" s="764"/>
      <c r="X110" s="764"/>
      <c r="Y110" s="14"/>
      <c r="Z110" s="14"/>
      <c r="AA110" s="14"/>
      <c r="AB110" s="37"/>
      <c r="AC110" s="37"/>
      <c r="AD110" s="37"/>
      <c r="AE110" s="37"/>
      <c r="AF110" s="37"/>
      <c r="AG110" s="37"/>
      <c r="AH110" s="37"/>
      <c r="AI110" s="37"/>
      <c r="AJ110" s="37"/>
      <c r="AK110" s="37"/>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5"/>
      <c r="BO110" s="45"/>
      <c r="BP110" s="45"/>
      <c r="BQ110" s="45"/>
      <c r="BS110" s="44"/>
      <c r="BT110" s="44"/>
      <c r="BU110" s="44"/>
      <c r="BV110" s="44"/>
      <c r="BW110" s="44"/>
      <c r="BX110" s="44"/>
      <c r="BY110" s="44"/>
      <c r="BZ110" s="44"/>
      <c r="CA110" s="44"/>
      <c r="CB110" s="44"/>
      <c r="CC110" s="44"/>
      <c r="CD110" s="44"/>
      <c r="CE110" s="45"/>
      <c r="CF110" s="45"/>
      <c r="CG110" s="45"/>
      <c r="CH110" s="45"/>
    </row>
    <row r="111" spans="1:86" ht="21" customHeight="1" x14ac:dyDescent="0.35">
      <c r="A111" s="20" t="s">
        <v>234</v>
      </c>
      <c r="B111" s="760" t="s">
        <v>381</v>
      </c>
      <c r="C111" s="760"/>
      <c r="D111" s="760"/>
      <c r="E111" s="760"/>
      <c r="F111" s="760"/>
      <c r="G111" s="737" t="s">
        <v>378</v>
      </c>
      <c r="H111" s="737"/>
      <c r="I111" s="737"/>
      <c r="J111" s="737"/>
      <c r="K111" s="737"/>
      <c r="L111" s="737"/>
      <c r="M111" s="20" t="s">
        <v>234</v>
      </c>
      <c r="N111" s="760" t="s">
        <v>381</v>
      </c>
      <c r="O111" s="760"/>
      <c r="P111" s="760"/>
      <c r="Q111" s="760"/>
      <c r="R111" s="760"/>
      <c r="S111" s="737" t="s">
        <v>378</v>
      </c>
      <c r="T111" s="737"/>
      <c r="U111" s="737"/>
      <c r="V111" s="737"/>
      <c r="W111" s="737"/>
      <c r="X111" s="737"/>
      <c r="Z111" s="707" t="s">
        <v>496</v>
      </c>
      <c r="AA111" s="707"/>
      <c r="AB111" s="707"/>
      <c r="AC111" s="707"/>
      <c r="AD111" s="707"/>
      <c r="AE111" s="707"/>
      <c r="AF111" s="707"/>
      <c r="AG111" s="707"/>
      <c r="AH111" s="707"/>
      <c r="AI111" s="707"/>
      <c r="AJ111" s="707"/>
      <c r="AK111" s="707"/>
      <c r="AL111" s="707"/>
      <c r="AM111" s="707"/>
      <c r="AN111" s="707"/>
      <c r="AO111" s="707"/>
      <c r="AP111" s="707"/>
      <c r="AQ111" s="707"/>
      <c r="AR111" s="707"/>
      <c r="AS111" s="707"/>
      <c r="AT111" s="909">
        <f>COUNTIFS('Neuropsychological Evals'!K14:K5000,"YES")</f>
        <v>0</v>
      </c>
      <c r="AU111" s="909"/>
      <c r="AV111" s="909"/>
      <c r="AW111" s="909"/>
      <c r="AX111" s="909"/>
      <c r="AY111" s="11"/>
      <c r="AZ111" s="46"/>
      <c r="BA111" s="46"/>
      <c r="BB111" s="11"/>
      <c r="BC111" s="11"/>
      <c r="BD111" s="46"/>
      <c r="BE111" s="46"/>
      <c r="BF111" s="11"/>
      <c r="BG111" s="11"/>
      <c r="BH111" s="46"/>
      <c r="BI111" s="46"/>
      <c r="BJ111" s="11"/>
      <c r="BK111" s="11"/>
      <c r="BL111" s="46"/>
      <c r="BM111" s="46"/>
      <c r="BN111" s="47"/>
      <c r="BO111" s="47"/>
      <c r="BP111" s="48"/>
      <c r="BQ111" s="48"/>
      <c r="BS111" s="11"/>
      <c r="BT111" s="11"/>
      <c r="BU111" s="46"/>
      <c r="BV111" s="46"/>
      <c r="BW111" s="11"/>
      <c r="BX111" s="11"/>
      <c r="BY111" s="46"/>
      <c r="BZ111" s="46"/>
      <c r="CA111" s="11"/>
      <c r="CB111" s="11"/>
      <c r="CC111" s="46"/>
      <c r="CD111" s="46"/>
      <c r="CE111" s="47"/>
      <c r="CF111" s="47"/>
      <c r="CG111" s="47"/>
      <c r="CH111" s="47"/>
    </row>
    <row r="112" spans="1:86" ht="24.95" customHeight="1" x14ac:dyDescent="0.25">
      <c r="A112" s="20">
        <f t="shared" ref="A112:A122" si="18">ROW(A1)</f>
        <v>1</v>
      </c>
      <c r="B112" s="691" t="s">
        <v>384</v>
      </c>
      <c r="C112" s="691"/>
      <c r="D112" s="691"/>
      <c r="E112" s="691"/>
      <c r="F112" s="691"/>
      <c r="G112" s="692">
        <f>COUNTIFS('Neuropsychological Evals'!E14:E1911,"Barbour")</f>
        <v>0</v>
      </c>
      <c r="H112" s="692"/>
      <c r="I112" s="692"/>
      <c r="J112" s="692"/>
      <c r="K112" s="692"/>
      <c r="L112" s="692"/>
      <c r="M112" s="20">
        <f>ROW(A43)</f>
        <v>43</v>
      </c>
      <c r="N112" s="691" t="s">
        <v>385</v>
      </c>
      <c r="O112" s="691"/>
      <c r="P112" s="691"/>
      <c r="Q112" s="691"/>
      <c r="R112" s="691"/>
      <c r="S112" s="692">
        <f>COUNTIFS('Neuropsychological Evals'!E14:E1911,"Mineral")</f>
        <v>0</v>
      </c>
      <c r="T112" s="692"/>
      <c r="U112" s="692"/>
      <c r="V112" s="692"/>
      <c r="W112" s="692"/>
      <c r="X112" s="692"/>
      <c r="Y112" s="15"/>
      <c r="Z112" s="15"/>
      <c r="AA112" s="15"/>
      <c r="AB112" s="39"/>
      <c r="AC112" s="39"/>
      <c r="AD112" s="39"/>
      <c r="AE112" s="39"/>
      <c r="AF112" s="39"/>
      <c r="AG112" s="39"/>
      <c r="AH112" s="39"/>
      <c r="AI112" s="39"/>
      <c r="AJ112" s="39"/>
      <c r="AK112" s="39"/>
      <c r="AL112" s="39"/>
      <c r="AM112" s="39"/>
      <c r="AN112" s="49"/>
      <c r="AO112" s="49"/>
      <c r="AP112" s="39"/>
      <c r="AQ112" s="39"/>
      <c r="AR112" s="49"/>
      <c r="AS112" s="49"/>
      <c r="AT112" s="39"/>
      <c r="AU112" s="39"/>
      <c r="AV112" s="49"/>
      <c r="AW112" s="49"/>
      <c r="AX112" s="39"/>
      <c r="AY112" s="39"/>
      <c r="AZ112" s="49"/>
      <c r="BA112" s="49"/>
      <c r="BB112" s="39"/>
      <c r="BC112" s="39"/>
      <c r="BD112" s="49"/>
      <c r="BE112" s="49"/>
      <c r="BF112" s="39"/>
      <c r="BG112" s="39"/>
      <c r="BH112" s="49"/>
      <c r="BI112" s="49"/>
      <c r="BJ112" s="39"/>
      <c r="BK112" s="39"/>
      <c r="BL112" s="49"/>
      <c r="BM112" s="49"/>
      <c r="BN112" s="49"/>
      <c r="BO112" s="49"/>
      <c r="BP112" s="49"/>
      <c r="BQ112" s="49"/>
      <c r="BS112" s="49"/>
      <c r="BT112" s="49"/>
      <c r="BU112" s="50"/>
      <c r="BV112" s="50"/>
      <c r="BW112" s="39"/>
      <c r="BX112" s="39"/>
      <c r="BY112" s="50"/>
      <c r="BZ112" s="50"/>
      <c r="CA112" s="39"/>
      <c r="CB112" s="39"/>
      <c r="CC112" s="50"/>
      <c r="CD112" s="50"/>
      <c r="CE112" s="39"/>
      <c r="CF112" s="39"/>
      <c r="CG112" s="39"/>
      <c r="CH112" s="39"/>
    </row>
    <row r="113" spans="1:86" ht="24.95" customHeight="1" x14ac:dyDescent="0.25">
      <c r="A113" s="20">
        <f t="shared" si="18"/>
        <v>2</v>
      </c>
      <c r="B113" s="691" t="s">
        <v>387</v>
      </c>
      <c r="C113" s="691"/>
      <c r="D113" s="691"/>
      <c r="E113" s="691"/>
      <c r="F113" s="691"/>
      <c r="G113" s="692">
        <f>COUNTIFS('Neuropsychological Evals'!E14:E1911,"Berkeley")</f>
        <v>0</v>
      </c>
      <c r="H113" s="692"/>
      <c r="I113" s="692"/>
      <c r="J113" s="692"/>
      <c r="K113" s="692"/>
      <c r="L113" s="692"/>
      <c r="M113" s="20">
        <f t="shared" ref="M113:M138" si="19">ROW(A44)</f>
        <v>44</v>
      </c>
      <c r="N113" s="691" t="s">
        <v>388</v>
      </c>
      <c r="O113" s="691"/>
      <c r="P113" s="691"/>
      <c r="Q113" s="691"/>
      <c r="R113" s="691"/>
      <c r="S113" s="692">
        <f>COUNTIFS('Neuropsychological Evals'!E14:E1911,"Mingo")</f>
        <v>0</v>
      </c>
      <c r="T113" s="692"/>
      <c r="U113" s="692"/>
      <c r="V113" s="692"/>
      <c r="W113" s="692"/>
      <c r="X113" s="692"/>
      <c r="Y113" s="15"/>
      <c r="Z113" s="949" t="s">
        <v>370</v>
      </c>
      <c r="AA113" s="949"/>
      <c r="AB113" s="949"/>
      <c r="AC113" s="949"/>
      <c r="AD113" s="949"/>
      <c r="AE113" s="947" t="s">
        <v>469</v>
      </c>
      <c r="AF113" s="947"/>
      <c r="AG113" s="947"/>
      <c r="AH113" s="947"/>
      <c r="AI113" s="39"/>
      <c r="AJ113" s="39"/>
      <c r="AK113" s="39"/>
      <c r="AL113" s="887" t="s">
        <v>242</v>
      </c>
      <c r="AM113" s="888"/>
      <c r="AN113" s="888"/>
      <c r="AO113" s="888"/>
      <c r="AP113" s="888"/>
      <c r="AQ113" s="888"/>
      <c r="AR113" s="888"/>
      <c r="AS113" s="888"/>
      <c r="AT113" s="889"/>
      <c r="AU113" s="911" t="s">
        <v>469</v>
      </c>
      <c r="AV113" s="912"/>
      <c r="AW113" s="912"/>
      <c r="AX113" s="912"/>
      <c r="AY113" s="913"/>
      <c r="BG113" s="39"/>
      <c r="BH113" s="49"/>
      <c r="BI113" s="49"/>
      <c r="BJ113" s="39"/>
      <c r="BK113" s="39"/>
      <c r="BL113" s="49"/>
      <c r="BM113" s="49"/>
      <c r="BN113" s="49"/>
      <c r="BO113" s="49"/>
      <c r="BP113" s="49"/>
      <c r="BQ113" s="49"/>
      <c r="BS113" s="49"/>
      <c r="BT113" s="49"/>
      <c r="BU113" s="50"/>
      <c r="BV113" s="50"/>
      <c r="BW113" s="39"/>
      <c r="BX113" s="39"/>
      <c r="BY113" s="50"/>
      <c r="BZ113" s="50"/>
      <c r="CA113" s="39"/>
      <c r="CB113" s="39"/>
      <c r="CC113" s="50"/>
      <c r="CD113" s="50"/>
      <c r="CE113" s="39"/>
      <c r="CF113" s="39"/>
      <c r="CG113" s="39"/>
      <c r="CH113" s="39"/>
    </row>
    <row r="114" spans="1:86" ht="24.95" customHeight="1" x14ac:dyDescent="0.25">
      <c r="A114" s="20">
        <f t="shared" si="18"/>
        <v>3</v>
      </c>
      <c r="B114" s="691" t="s">
        <v>390</v>
      </c>
      <c r="C114" s="691"/>
      <c r="D114" s="691"/>
      <c r="E114" s="691"/>
      <c r="F114" s="691"/>
      <c r="G114" s="692">
        <f>COUNTIFS('Neuropsychological Evals'!E14:E1911,"Boone")</f>
        <v>0</v>
      </c>
      <c r="H114" s="692"/>
      <c r="I114" s="692"/>
      <c r="J114" s="692"/>
      <c r="K114" s="692"/>
      <c r="L114" s="692"/>
      <c r="M114" s="20">
        <f t="shared" si="19"/>
        <v>45</v>
      </c>
      <c r="N114" s="691" t="s">
        <v>391</v>
      </c>
      <c r="O114" s="691"/>
      <c r="P114" s="691"/>
      <c r="Q114" s="691"/>
      <c r="R114" s="691"/>
      <c r="S114" s="692">
        <f>COUNTIFS('Neuropsychological Evals'!E14:E1911,"Monongalia")</f>
        <v>0</v>
      </c>
      <c r="T114" s="692"/>
      <c r="U114" s="692"/>
      <c r="V114" s="692"/>
      <c r="W114" s="692"/>
      <c r="X114" s="692"/>
      <c r="Y114" s="15"/>
      <c r="Z114" s="917" t="s">
        <v>497</v>
      </c>
      <c r="AA114" s="917"/>
      <c r="AB114" s="917"/>
      <c r="AC114" s="917"/>
      <c r="AD114" s="917"/>
      <c r="AE114" s="948">
        <f>COUNTIFS('Neuropsychological Evals'!F13:F4895,"&gt;=0",'Neuropsychological Evals'!F13:F4895,"&lt;=12")</f>
        <v>0</v>
      </c>
      <c r="AF114" s="948"/>
      <c r="AG114" s="948"/>
      <c r="AH114" s="948"/>
      <c r="AI114" s="39"/>
      <c r="AJ114" s="39"/>
      <c r="AK114" s="39"/>
      <c r="AL114" s="890" t="s">
        <v>371</v>
      </c>
      <c r="AM114" s="891"/>
      <c r="AN114" s="891"/>
      <c r="AO114" s="891"/>
      <c r="AP114" s="891"/>
      <c r="AQ114" s="891"/>
      <c r="AR114" s="891"/>
      <c r="AS114" s="891"/>
      <c r="AT114" s="892"/>
      <c r="AU114" s="898">
        <f>COUNTIFS('Neuropsychological Evals'!H13:H4895,"White / Caucasian ")</f>
        <v>0</v>
      </c>
      <c r="AV114" s="899"/>
      <c r="AW114" s="899"/>
      <c r="AX114" s="899"/>
      <c r="AY114" s="900"/>
      <c r="BG114" s="39"/>
      <c r="BH114" s="49"/>
      <c r="BI114" s="49"/>
      <c r="BJ114" s="39"/>
      <c r="BK114" s="39"/>
      <c r="BL114" s="49"/>
      <c r="BM114" s="49"/>
      <c r="BN114" s="39"/>
      <c r="BO114" s="39"/>
      <c r="BP114" s="39"/>
      <c r="BQ114" s="39"/>
      <c r="BS114" s="49"/>
      <c r="BT114" s="49"/>
      <c r="BU114" s="50"/>
      <c r="BV114" s="50"/>
      <c r="BW114" s="39"/>
      <c r="BX114" s="39"/>
      <c r="BY114" s="50"/>
      <c r="BZ114" s="50"/>
      <c r="CA114" s="39"/>
      <c r="CB114" s="39"/>
      <c r="CC114" s="50"/>
      <c r="CD114" s="50"/>
      <c r="CE114" s="39"/>
      <c r="CF114" s="39"/>
      <c r="CG114" s="39"/>
      <c r="CH114" s="39"/>
    </row>
    <row r="115" spans="1:86" ht="24.95" customHeight="1" x14ac:dyDescent="0.25">
      <c r="A115" s="20">
        <f t="shared" si="18"/>
        <v>4</v>
      </c>
      <c r="B115" s="691" t="s">
        <v>393</v>
      </c>
      <c r="C115" s="691"/>
      <c r="D115" s="691"/>
      <c r="E115" s="691"/>
      <c r="F115" s="691"/>
      <c r="G115" s="692">
        <f>COUNTIFS('Neuropsychological Evals'!E14:E1911,"Braxton")</f>
        <v>0</v>
      </c>
      <c r="H115" s="692"/>
      <c r="I115" s="692"/>
      <c r="J115" s="692"/>
      <c r="K115" s="692"/>
      <c r="L115" s="692"/>
      <c r="M115" s="20">
        <f t="shared" si="19"/>
        <v>46</v>
      </c>
      <c r="N115" s="691" t="s">
        <v>394</v>
      </c>
      <c r="O115" s="691"/>
      <c r="P115" s="691"/>
      <c r="Q115" s="691"/>
      <c r="R115" s="691"/>
      <c r="S115" s="692">
        <f>COUNTIFS('Neuropsychological Evals'!E14:E1911,"Monroe")</f>
        <v>0</v>
      </c>
      <c r="T115" s="692"/>
      <c r="U115" s="692"/>
      <c r="V115" s="692"/>
      <c r="W115" s="692"/>
      <c r="X115" s="692"/>
      <c r="Y115" s="15"/>
      <c r="Z115" s="917" t="s">
        <v>498</v>
      </c>
      <c r="AA115" s="917"/>
      <c r="AB115" s="917"/>
      <c r="AC115" s="917"/>
      <c r="AD115" s="917"/>
      <c r="AE115" s="948">
        <f>COUNTIFS('Neuropsychological Evals'!F14:F4895,"&gt;=13",'Neuropsychological Evals'!F14:F4895,"&lt;=17")</f>
        <v>0</v>
      </c>
      <c r="AF115" s="948"/>
      <c r="AG115" s="948"/>
      <c r="AH115" s="948"/>
      <c r="AI115" s="39"/>
      <c r="AJ115" s="39"/>
      <c r="AK115" s="39"/>
      <c r="AL115" s="890" t="s">
        <v>499</v>
      </c>
      <c r="AM115" s="891"/>
      <c r="AN115" s="891"/>
      <c r="AO115" s="891"/>
      <c r="AP115" s="891"/>
      <c r="AQ115" s="891"/>
      <c r="AR115" s="891"/>
      <c r="AS115" s="891"/>
      <c r="AT115" s="892"/>
      <c r="AU115" s="898">
        <f>COUNTIFS('Neuropsychological Evals'!H14:H4895,"African American /Black")</f>
        <v>0</v>
      </c>
      <c r="AV115" s="899"/>
      <c r="AW115" s="899"/>
      <c r="AX115" s="899"/>
      <c r="AY115" s="900"/>
      <c r="BG115" s="39"/>
      <c r="BH115" s="49"/>
      <c r="BI115" s="49"/>
      <c r="BJ115" s="39"/>
      <c r="BK115" s="39"/>
      <c r="BL115" s="49"/>
      <c r="BM115" s="49"/>
      <c r="BN115" s="39"/>
      <c r="BO115" s="39"/>
      <c r="BP115" s="39"/>
      <c r="BQ115" s="39"/>
      <c r="BS115" s="49"/>
      <c r="BT115" s="49"/>
      <c r="BU115" s="50"/>
      <c r="BV115" s="50"/>
      <c r="BW115" s="39"/>
      <c r="BX115" s="39"/>
      <c r="BY115" s="50"/>
      <c r="BZ115" s="50"/>
      <c r="CA115" s="39"/>
      <c r="CB115" s="39"/>
      <c r="CC115" s="50"/>
      <c r="CD115" s="50"/>
      <c r="CE115" s="39"/>
      <c r="CF115" s="39"/>
      <c r="CG115" s="39"/>
      <c r="CH115" s="39"/>
    </row>
    <row r="116" spans="1:86" ht="24.95" customHeight="1" x14ac:dyDescent="0.25">
      <c r="A116" s="20">
        <f t="shared" si="18"/>
        <v>5</v>
      </c>
      <c r="B116" s="404" t="s">
        <v>396</v>
      </c>
      <c r="C116" s="404"/>
      <c r="D116" s="404"/>
      <c r="E116" s="404"/>
      <c r="F116" s="404"/>
      <c r="G116" s="692">
        <f>COUNTIFS('Neuropsychological Evals'!E14:E1911,"Brooke")</f>
        <v>0</v>
      </c>
      <c r="H116" s="692"/>
      <c r="I116" s="692"/>
      <c r="J116" s="692"/>
      <c r="K116" s="692"/>
      <c r="L116" s="692"/>
      <c r="M116" s="20">
        <f t="shared" si="19"/>
        <v>47</v>
      </c>
      <c r="N116" s="691" t="s">
        <v>397</v>
      </c>
      <c r="O116" s="691"/>
      <c r="P116" s="691"/>
      <c r="Q116" s="691"/>
      <c r="R116" s="691"/>
      <c r="S116" s="692">
        <f>COUNTIFS('Neuropsychological Evals'!E14:E1911,"Morgan")</f>
        <v>0</v>
      </c>
      <c r="T116" s="692"/>
      <c r="U116" s="692"/>
      <c r="V116" s="692"/>
      <c r="W116" s="692"/>
      <c r="X116" s="692"/>
      <c r="Y116" s="15"/>
      <c r="Z116" s="917" t="s">
        <v>500</v>
      </c>
      <c r="AA116" s="917"/>
      <c r="AB116" s="917"/>
      <c r="AC116" s="917"/>
      <c r="AD116" s="917"/>
      <c r="AE116" s="948">
        <f>COUNTIFS('Neuropsychological Evals'!F14:F4895,"&gt;=18",'Neuropsychological Evals'!F14:F4895,"&lt;=20")</f>
        <v>0</v>
      </c>
      <c r="AF116" s="948"/>
      <c r="AG116" s="948"/>
      <c r="AH116" s="948"/>
      <c r="AI116" s="39"/>
      <c r="AJ116" s="39"/>
      <c r="AK116" s="39"/>
      <c r="AL116" s="890" t="s">
        <v>501</v>
      </c>
      <c r="AM116" s="891"/>
      <c r="AN116" s="891"/>
      <c r="AO116" s="891"/>
      <c r="AP116" s="891"/>
      <c r="AQ116" s="891"/>
      <c r="AR116" s="891"/>
      <c r="AS116" s="891"/>
      <c r="AT116" s="892"/>
      <c r="AU116" s="898">
        <f>COUNTIFS('Neuropsychological Evals'!H14:H4895,"More than one race reported")</f>
        <v>0</v>
      </c>
      <c r="AV116" s="899"/>
      <c r="AW116" s="899"/>
      <c r="AX116" s="899"/>
      <c r="AY116" s="900"/>
      <c r="BG116" s="39"/>
      <c r="BH116" s="49"/>
      <c r="BI116" s="49"/>
      <c r="BJ116" s="39"/>
      <c r="BK116" s="39"/>
      <c r="BL116" s="49"/>
      <c r="BM116" s="49"/>
      <c r="BN116" s="39"/>
      <c r="BO116" s="39"/>
      <c r="BP116" s="39"/>
      <c r="BQ116" s="39"/>
      <c r="BS116" s="49"/>
      <c r="BT116" s="49"/>
      <c r="BU116" s="50"/>
      <c r="BV116" s="50"/>
      <c r="BW116" s="39"/>
      <c r="BX116" s="39"/>
      <c r="BY116" s="50"/>
      <c r="BZ116" s="50"/>
      <c r="CA116" s="39"/>
      <c r="CB116" s="39"/>
      <c r="CC116" s="50"/>
      <c r="CD116" s="50"/>
      <c r="CE116" s="39"/>
      <c r="CF116" s="39"/>
      <c r="CG116" s="39"/>
      <c r="CH116" s="39"/>
    </row>
    <row r="117" spans="1:86" ht="24.95" customHeight="1" x14ac:dyDescent="0.25">
      <c r="A117" s="20">
        <f t="shared" si="18"/>
        <v>6</v>
      </c>
      <c r="B117" s="691" t="s">
        <v>399</v>
      </c>
      <c r="C117" s="691"/>
      <c r="D117" s="691"/>
      <c r="E117" s="691"/>
      <c r="F117" s="691"/>
      <c r="G117" s="692">
        <f>COUNTIFS('Neuropsychological Evals'!E14:E1911,"Cabell")</f>
        <v>0</v>
      </c>
      <c r="H117" s="692"/>
      <c r="I117" s="692"/>
      <c r="J117" s="692"/>
      <c r="K117" s="692"/>
      <c r="L117" s="692"/>
      <c r="M117" s="20">
        <f t="shared" si="19"/>
        <v>48</v>
      </c>
      <c r="N117" s="691" t="s">
        <v>400</v>
      </c>
      <c r="O117" s="691"/>
      <c r="P117" s="691"/>
      <c r="Q117" s="691"/>
      <c r="R117" s="691"/>
      <c r="S117" s="692">
        <f>COUNTIFS('Neuropsychological Evals'!E14:E1911,"Nicholas")</f>
        <v>0</v>
      </c>
      <c r="T117" s="692"/>
      <c r="U117" s="692"/>
      <c r="V117" s="692"/>
      <c r="W117" s="692"/>
      <c r="X117" s="692"/>
      <c r="Y117" s="15"/>
      <c r="Z117" s="917" t="s">
        <v>502</v>
      </c>
      <c r="AA117" s="917"/>
      <c r="AB117" s="917"/>
      <c r="AC117" s="917"/>
      <c r="AD117" s="917"/>
      <c r="AE117" s="948">
        <f>COUNTIFS('Neuropsychological Evals'!F14:F4895,"&gt;=21",'Neuropsychological Evals'!F14:F4895,"&lt;=24")</f>
        <v>0</v>
      </c>
      <c r="AF117" s="948"/>
      <c r="AG117" s="948"/>
      <c r="AH117" s="948"/>
      <c r="AI117" s="39"/>
      <c r="AJ117" s="39"/>
      <c r="AK117" s="39"/>
      <c r="AL117" s="890" t="s">
        <v>503</v>
      </c>
      <c r="AM117" s="891"/>
      <c r="AN117" s="891"/>
      <c r="AO117" s="891"/>
      <c r="AP117" s="891"/>
      <c r="AQ117" s="891"/>
      <c r="AR117" s="891"/>
      <c r="AS117" s="891"/>
      <c r="AT117" s="892"/>
      <c r="AU117" s="898">
        <f>COUNTIFS('Neuropsychological Evals'!H14:H4895,"Unknown")</f>
        <v>0</v>
      </c>
      <c r="AV117" s="899"/>
      <c r="AW117" s="899"/>
      <c r="AX117" s="899"/>
      <c r="AY117" s="900"/>
      <c r="BG117" s="39"/>
      <c r="BH117" s="49"/>
      <c r="BI117" s="49"/>
      <c r="BJ117" s="39"/>
      <c r="BK117" s="39"/>
      <c r="BL117" s="49"/>
      <c r="BM117" s="49"/>
      <c r="BN117" s="39"/>
      <c r="BO117" s="39"/>
      <c r="BP117" s="39"/>
      <c r="BQ117" s="39"/>
      <c r="BS117" s="49"/>
      <c r="BT117" s="49"/>
      <c r="BU117" s="50"/>
      <c r="BV117" s="50"/>
      <c r="BW117" s="39"/>
      <c r="BX117" s="39"/>
      <c r="BY117" s="50"/>
      <c r="BZ117" s="50"/>
      <c r="CA117" s="39"/>
      <c r="CB117" s="39"/>
      <c r="CC117" s="50"/>
      <c r="CD117" s="50"/>
      <c r="CE117" s="39"/>
      <c r="CF117" s="39"/>
      <c r="CG117" s="39"/>
      <c r="CH117" s="39"/>
    </row>
    <row r="118" spans="1:86" ht="24.95" customHeight="1" x14ac:dyDescent="0.25">
      <c r="A118" s="20">
        <f t="shared" si="18"/>
        <v>7</v>
      </c>
      <c r="B118" s="691" t="s">
        <v>402</v>
      </c>
      <c r="C118" s="691"/>
      <c r="D118" s="691"/>
      <c r="E118" s="691"/>
      <c r="F118" s="691"/>
      <c r="G118" s="692">
        <f>COUNTIFS('Neuropsychological Evals'!E14:E1911,"Calhoun")</f>
        <v>0</v>
      </c>
      <c r="H118" s="692"/>
      <c r="I118" s="692"/>
      <c r="J118" s="692"/>
      <c r="K118" s="692"/>
      <c r="L118" s="692"/>
      <c r="M118" s="20">
        <f t="shared" si="19"/>
        <v>49</v>
      </c>
      <c r="N118" s="404" t="s">
        <v>403</v>
      </c>
      <c r="O118" s="404"/>
      <c r="P118" s="404"/>
      <c r="Q118" s="404"/>
      <c r="R118" s="404"/>
      <c r="S118" s="692">
        <f>COUNTIFS('Neuropsychological Evals'!E14:E1911,"Ohio")</f>
        <v>0</v>
      </c>
      <c r="T118" s="692"/>
      <c r="U118" s="692"/>
      <c r="V118" s="692"/>
      <c r="W118" s="692"/>
      <c r="X118" s="692"/>
      <c r="Y118" s="15"/>
      <c r="Z118" s="917" t="s">
        <v>398</v>
      </c>
      <c r="AA118" s="917"/>
      <c r="AB118" s="917"/>
      <c r="AC118" s="917"/>
      <c r="AD118" s="917"/>
      <c r="AE118" s="948">
        <f>COUNTIFS('Neuropsychological Evals'!F14:F4895,"&gt;=25",'Neuropsychological Evals'!F14:F4895,"&lt;=44")</f>
        <v>0</v>
      </c>
      <c r="AF118" s="948"/>
      <c r="AG118" s="948"/>
      <c r="AH118" s="948"/>
      <c r="AI118" s="39"/>
      <c r="AJ118" s="39"/>
      <c r="AK118" s="39"/>
      <c r="AL118" s="890" t="s">
        <v>374</v>
      </c>
      <c r="AM118" s="891"/>
      <c r="AN118" s="891"/>
      <c r="AO118" s="891"/>
      <c r="AP118" s="891"/>
      <c r="AQ118" s="891"/>
      <c r="AR118" s="891"/>
      <c r="AS118" s="891"/>
      <c r="AT118" s="892"/>
      <c r="AU118" s="898">
        <f>COUNTIFS('Neuropsychological Evals'!H14:H4895,"Asian")</f>
        <v>0</v>
      </c>
      <c r="AV118" s="899"/>
      <c r="AW118" s="899"/>
      <c r="AX118" s="899"/>
      <c r="AY118" s="900"/>
      <c r="BG118" s="39"/>
      <c r="BH118" s="49"/>
      <c r="BI118" s="49"/>
      <c r="BJ118" s="39"/>
      <c r="BK118" s="39"/>
      <c r="BL118" s="49"/>
      <c r="BM118" s="49"/>
      <c r="BN118" s="39"/>
      <c r="BO118" s="39"/>
      <c r="BP118" s="39"/>
      <c r="BQ118" s="39"/>
      <c r="BS118" s="49"/>
      <c r="BT118" s="49"/>
      <c r="BU118" s="50"/>
      <c r="BV118" s="50"/>
      <c r="BW118" s="39"/>
      <c r="BX118" s="39"/>
      <c r="BY118" s="50"/>
      <c r="BZ118" s="50"/>
      <c r="CA118" s="39"/>
      <c r="CB118" s="39"/>
      <c r="CC118" s="50"/>
      <c r="CD118" s="50"/>
      <c r="CE118" s="39"/>
      <c r="CF118" s="39"/>
      <c r="CG118" s="39"/>
      <c r="CH118" s="39"/>
    </row>
    <row r="119" spans="1:86" ht="24.95" customHeight="1" x14ac:dyDescent="0.25">
      <c r="A119" s="20">
        <f t="shared" si="18"/>
        <v>8</v>
      </c>
      <c r="B119" s="691" t="s">
        <v>405</v>
      </c>
      <c r="C119" s="691"/>
      <c r="D119" s="691"/>
      <c r="E119" s="691"/>
      <c r="F119" s="691"/>
      <c r="G119" s="692">
        <f>COUNTIFS('Neuropsychological Evals'!E14:E1911,"Clay")</f>
        <v>0</v>
      </c>
      <c r="H119" s="692"/>
      <c r="I119" s="692"/>
      <c r="J119" s="692"/>
      <c r="K119" s="692"/>
      <c r="L119" s="692"/>
      <c r="M119" s="20">
        <f t="shared" si="19"/>
        <v>50</v>
      </c>
      <c r="N119" s="691" t="s">
        <v>406</v>
      </c>
      <c r="O119" s="691"/>
      <c r="P119" s="691"/>
      <c r="Q119" s="691"/>
      <c r="R119" s="691"/>
      <c r="S119" s="692">
        <f>COUNTIFS('Neuropsychological Evals'!E14:E1911,"Pendleton")</f>
        <v>0</v>
      </c>
      <c r="T119" s="692"/>
      <c r="U119" s="692"/>
      <c r="V119" s="692"/>
      <c r="W119" s="692"/>
      <c r="X119" s="692"/>
      <c r="Y119" s="15"/>
      <c r="Z119" s="917" t="s">
        <v>401</v>
      </c>
      <c r="AA119" s="917"/>
      <c r="AB119" s="917"/>
      <c r="AC119" s="917"/>
      <c r="AD119" s="917"/>
      <c r="AE119" s="948">
        <f>COUNTIFS('Neuropsychological Evals'!F14:F4895,"&gt;=45",'Neuropsychological Evals'!F14:F4895,"&lt;=64")</f>
        <v>0</v>
      </c>
      <c r="AF119" s="948"/>
      <c r="AG119" s="948"/>
      <c r="AH119" s="948"/>
      <c r="AI119" s="39"/>
      <c r="AJ119" s="39"/>
      <c r="AK119" s="39"/>
      <c r="AL119" s="890" t="s">
        <v>504</v>
      </c>
      <c r="AM119" s="891"/>
      <c r="AN119" s="891"/>
      <c r="AO119" s="891"/>
      <c r="AP119" s="891"/>
      <c r="AQ119" s="891"/>
      <c r="AR119" s="891"/>
      <c r="AS119" s="891"/>
      <c r="AT119" s="892"/>
      <c r="AU119" s="898">
        <f>COUNTIFS('Neuropsychological Evals'!H14:H4895,"American Indian  / Alaska Native")</f>
        <v>0</v>
      </c>
      <c r="AV119" s="899"/>
      <c r="AW119" s="899"/>
      <c r="AX119" s="899"/>
      <c r="AY119" s="900"/>
      <c r="BG119" s="39"/>
      <c r="BH119" s="50"/>
      <c r="BI119" s="50"/>
      <c r="BJ119" s="39"/>
      <c r="BK119" s="39"/>
      <c r="BL119" s="50"/>
      <c r="BM119" s="50"/>
      <c r="BN119" s="39"/>
      <c r="BO119" s="39"/>
      <c r="BP119" s="39"/>
      <c r="BQ119" s="39"/>
      <c r="BS119" s="49"/>
      <c r="BT119" s="49"/>
      <c r="BU119" s="50"/>
      <c r="BV119" s="50"/>
      <c r="BW119" s="39"/>
      <c r="BX119" s="39"/>
      <c r="BY119" s="50"/>
      <c r="BZ119" s="50"/>
      <c r="CA119" s="39"/>
      <c r="CB119" s="39"/>
      <c r="CC119" s="50"/>
      <c r="CD119" s="50"/>
      <c r="CE119" s="39"/>
      <c r="CF119" s="39"/>
      <c r="CG119" s="39"/>
      <c r="CH119" s="39"/>
    </row>
    <row r="120" spans="1:86" ht="24.95" customHeight="1" x14ac:dyDescent="0.25">
      <c r="A120" s="20">
        <f t="shared" si="18"/>
        <v>9</v>
      </c>
      <c r="B120" s="691" t="s">
        <v>408</v>
      </c>
      <c r="C120" s="691"/>
      <c r="D120" s="691"/>
      <c r="E120" s="691"/>
      <c r="F120" s="691"/>
      <c r="G120" s="692">
        <f>COUNTIFS('Neuropsychological Evals'!E14:E1911,"Doddridge")</f>
        <v>0</v>
      </c>
      <c r="H120" s="692"/>
      <c r="I120" s="692"/>
      <c r="J120" s="692"/>
      <c r="K120" s="692"/>
      <c r="L120" s="692"/>
      <c r="M120" s="20">
        <f t="shared" si="19"/>
        <v>51</v>
      </c>
      <c r="N120" s="691" t="s">
        <v>409</v>
      </c>
      <c r="O120" s="691"/>
      <c r="P120" s="691"/>
      <c r="Q120" s="691"/>
      <c r="R120" s="691"/>
      <c r="S120" s="692">
        <f>COUNTIFS('Neuropsychological Evals'!E14:E1911,"Pleasants")</f>
        <v>0</v>
      </c>
      <c r="T120" s="692"/>
      <c r="U120" s="692"/>
      <c r="V120" s="692"/>
      <c r="W120" s="692"/>
      <c r="X120" s="692"/>
      <c r="Y120" s="15"/>
      <c r="Z120" s="917" t="s">
        <v>404</v>
      </c>
      <c r="AA120" s="917"/>
      <c r="AB120" s="917"/>
      <c r="AC120" s="917"/>
      <c r="AD120" s="917"/>
      <c r="AE120" s="948">
        <f>COUNTIFS('Neuropsychological Evals'!F14:F4895,"&gt;=65",'Neuropsychological Evals'!F14:F4895,"&lt;=74")</f>
        <v>0</v>
      </c>
      <c r="AF120" s="948"/>
      <c r="AG120" s="948"/>
      <c r="AH120" s="948"/>
      <c r="AI120" s="40"/>
      <c r="AJ120" s="40"/>
      <c r="AK120" s="40"/>
      <c r="AL120" s="890" t="s">
        <v>505</v>
      </c>
      <c r="AM120" s="891"/>
      <c r="AN120" s="891"/>
      <c r="AO120" s="891"/>
      <c r="AP120" s="891"/>
      <c r="AQ120" s="891"/>
      <c r="AR120" s="891"/>
      <c r="AS120" s="891"/>
      <c r="AT120" s="892"/>
      <c r="AU120" s="898">
        <f>COUNTIFS('Neuropsychological Evals'!H14:H4895,"Native Hawaiian/Pacific Islander")</f>
        <v>0</v>
      </c>
      <c r="AV120" s="899"/>
      <c r="AW120" s="899"/>
      <c r="AX120" s="899"/>
      <c r="AY120" s="900"/>
      <c r="BG120" s="51"/>
      <c r="BH120" s="52"/>
      <c r="BI120" s="52"/>
      <c r="BJ120" s="51"/>
      <c r="BK120" s="51"/>
      <c r="BL120" s="52"/>
      <c r="BM120" s="52"/>
      <c r="BN120" s="52"/>
      <c r="BO120" s="52"/>
      <c r="BP120" s="52"/>
      <c r="BQ120" s="52"/>
      <c r="BS120" s="52"/>
      <c r="BT120" s="52"/>
      <c r="BU120" s="52"/>
      <c r="BV120" s="52"/>
      <c r="BW120" s="52"/>
      <c r="BX120" s="52"/>
      <c r="BY120" s="52"/>
      <c r="BZ120" s="52"/>
      <c r="CA120" s="52"/>
      <c r="CB120" s="52"/>
      <c r="CC120" s="52"/>
      <c r="CD120" s="52"/>
      <c r="CE120" s="39"/>
      <c r="CF120" s="39"/>
      <c r="CG120" s="39"/>
      <c r="CH120" s="39"/>
    </row>
    <row r="121" spans="1:86" ht="24.95" customHeight="1" x14ac:dyDescent="0.3">
      <c r="A121" s="20">
        <f t="shared" si="18"/>
        <v>10</v>
      </c>
      <c r="B121" s="691" t="s">
        <v>410</v>
      </c>
      <c r="C121" s="691"/>
      <c r="D121" s="691"/>
      <c r="E121" s="691"/>
      <c r="F121" s="691"/>
      <c r="G121" s="692">
        <f>COUNTIFS('Neuropsychological Evals'!E14:E1911,"Fayette")</f>
        <v>0</v>
      </c>
      <c r="H121" s="692"/>
      <c r="I121" s="692"/>
      <c r="J121" s="692"/>
      <c r="K121" s="692"/>
      <c r="L121" s="692"/>
      <c r="M121" s="20">
        <f t="shared" si="19"/>
        <v>52</v>
      </c>
      <c r="N121" s="691" t="s">
        <v>411</v>
      </c>
      <c r="O121" s="691"/>
      <c r="P121" s="691"/>
      <c r="Q121" s="691"/>
      <c r="R121" s="691"/>
      <c r="S121" s="692">
        <f>COUNTIFS('Neuropsychological Evals'!E14:E1911,"Pocahontas")</f>
        <v>0</v>
      </c>
      <c r="T121" s="692"/>
      <c r="U121" s="692"/>
      <c r="V121" s="692"/>
      <c r="W121" s="692"/>
      <c r="X121" s="692"/>
      <c r="Y121" s="15"/>
      <c r="Z121" s="917" t="s">
        <v>506</v>
      </c>
      <c r="AA121" s="917"/>
      <c r="AB121" s="917"/>
      <c r="AC121" s="917"/>
      <c r="AD121" s="917"/>
      <c r="AE121" s="1034">
        <f>COUNTIFS('Neuropsychological Evals'!F14:F4895,"&gt;=75",'Neuropsychological Evals'!F14:F4895,"&lt;=150")</f>
        <v>0</v>
      </c>
      <c r="AF121" s="1034"/>
      <c r="AG121" s="1034"/>
      <c r="AH121" s="1034"/>
      <c r="AI121" s="53"/>
      <c r="AJ121" s="53"/>
      <c r="AK121" s="53"/>
      <c r="AL121" s="901"/>
      <c r="AM121" s="902"/>
      <c r="AN121" s="902"/>
      <c r="AO121" s="902"/>
      <c r="AP121" s="902"/>
      <c r="AQ121" s="902"/>
      <c r="AR121" s="902"/>
      <c r="AS121" s="902"/>
      <c r="AT121" s="903"/>
      <c r="AU121" s="914"/>
      <c r="AV121" s="915"/>
      <c r="AW121" s="915"/>
      <c r="AX121" s="915"/>
      <c r="AY121" s="916"/>
      <c r="BG121" s="53"/>
      <c r="BH121" s="53"/>
      <c r="BI121" s="53"/>
      <c r="BJ121" s="53"/>
      <c r="BK121" s="53"/>
      <c r="BL121" s="53"/>
      <c r="BM121" s="53"/>
      <c r="BN121" s="54"/>
      <c r="BO121" s="54"/>
      <c r="BP121" s="54"/>
      <c r="BQ121" s="54"/>
      <c r="BS121" s="55"/>
      <c r="BT121" s="55"/>
      <c r="BU121" s="55"/>
      <c r="BV121" s="55"/>
      <c r="BW121" s="55"/>
      <c r="BX121" s="55"/>
      <c r="BY121" s="55"/>
      <c r="BZ121" s="55"/>
      <c r="CA121" s="55"/>
      <c r="CB121" s="55"/>
      <c r="CC121" s="55"/>
      <c r="CD121" s="55"/>
      <c r="CE121" s="56"/>
      <c r="CF121" s="56"/>
      <c r="CG121" s="56"/>
      <c r="CH121" s="56"/>
    </row>
    <row r="122" spans="1:86" ht="24.95" customHeight="1" x14ac:dyDescent="0.25">
      <c r="A122" s="20">
        <f t="shared" si="18"/>
        <v>11</v>
      </c>
      <c r="B122" s="691" t="s">
        <v>413</v>
      </c>
      <c r="C122" s="691"/>
      <c r="D122" s="691"/>
      <c r="E122" s="691"/>
      <c r="F122" s="691"/>
      <c r="G122" s="692">
        <f>COUNTIFS('Neuropsychological Evals'!E14:E1911,"Gilmer")</f>
        <v>0</v>
      </c>
      <c r="H122" s="692"/>
      <c r="I122" s="692"/>
      <c r="J122" s="692"/>
      <c r="K122" s="692"/>
      <c r="L122" s="692"/>
      <c r="M122" s="20">
        <f t="shared" si="19"/>
        <v>53</v>
      </c>
      <c r="N122" s="691" t="s">
        <v>414</v>
      </c>
      <c r="O122" s="691"/>
      <c r="P122" s="691"/>
      <c r="Q122" s="691"/>
      <c r="R122" s="691"/>
      <c r="S122" s="692">
        <f>COUNTIFS('Neuropsychological Evals'!E14:E1911,"Preston")</f>
        <v>0</v>
      </c>
      <c r="T122" s="692"/>
      <c r="U122" s="692"/>
      <c r="V122" s="692"/>
      <c r="W122" s="692"/>
      <c r="X122" s="692"/>
      <c r="Y122" s="15"/>
      <c r="Z122" s="946" t="s">
        <v>412</v>
      </c>
      <c r="AA122" s="946"/>
      <c r="AB122" s="946"/>
      <c r="AC122" s="946"/>
      <c r="AD122" s="946"/>
      <c r="AE122" s="967">
        <f>SUM(AE114:AE121)</f>
        <v>0</v>
      </c>
      <c r="AF122" s="967"/>
      <c r="AG122" s="967"/>
      <c r="AH122" s="967"/>
      <c r="AI122" s="37"/>
      <c r="AJ122" s="37"/>
      <c r="AK122" s="37"/>
      <c r="AL122" s="968" t="s">
        <v>412</v>
      </c>
      <c r="AM122" s="969"/>
      <c r="AN122" s="969"/>
      <c r="AO122" s="969"/>
      <c r="AP122" s="969"/>
      <c r="AQ122" s="969"/>
      <c r="AR122" s="969"/>
      <c r="AS122" s="969"/>
      <c r="AT122" s="970"/>
      <c r="AU122" s="971">
        <f>SUM(AU114:AU121)</f>
        <v>0</v>
      </c>
      <c r="AV122" s="972"/>
      <c r="AW122" s="972"/>
      <c r="AX122" s="972"/>
      <c r="AY122" s="973"/>
      <c r="AZ122" s="11"/>
      <c r="BA122" s="11"/>
      <c r="BB122" s="11"/>
      <c r="BC122" s="11"/>
      <c r="BD122" s="11"/>
      <c r="BE122" s="11"/>
      <c r="BF122" s="11"/>
      <c r="BG122" s="11"/>
      <c r="BH122" s="11"/>
      <c r="BI122" s="11"/>
      <c r="BJ122" s="11"/>
      <c r="BK122" s="11"/>
      <c r="BL122" s="11"/>
      <c r="BM122" s="11"/>
      <c r="BN122" s="11"/>
      <c r="BO122" s="11"/>
      <c r="BP122" s="11"/>
      <c r="BQ122" s="11"/>
      <c r="BS122" s="11"/>
      <c r="BT122" s="11"/>
      <c r="BU122" s="11"/>
      <c r="BV122" s="11"/>
      <c r="BW122" s="11"/>
      <c r="BX122" s="11"/>
      <c r="BY122" s="11"/>
      <c r="BZ122" s="11"/>
      <c r="CA122" s="11"/>
      <c r="CB122" s="11"/>
      <c r="CC122" s="11"/>
      <c r="CD122" s="11"/>
      <c r="CE122" s="11"/>
      <c r="CF122" s="11"/>
      <c r="CG122" s="11"/>
      <c r="CH122" s="11"/>
    </row>
    <row r="123" spans="1:86" ht="24.95" customHeight="1" x14ac:dyDescent="0.25">
      <c r="A123" s="20" t="e">
        <f>ROW(#REF!)</f>
        <v>#REF!</v>
      </c>
      <c r="B123" s="691" t="s">
        <v>415</v>
      </c>
      <c r="C123" s="691"/>
      <c r="D123" s="691"/>
      <c r="E123" s="691"/>
      <c r="F123" s="691"/>
      <c r="G123" s="692">
        <f>COUNTIFS('Neuropsychological Evals'!E14:E1911,"Grant")</f>
        <v>0</v>
      </c>
      <c r="H123" s="692"/>
      <c r="I123" s="692"/>
      <c r="J123" s="692"/>
      <c r="K123" s="692"/>
      <c r="L123" s="692"/>
      <c r="M123" s="20">
        <f t="shared" si="19"/>
        <v>54</v>
      </c>
      <c r="N123" s="691" t="s">
        <v>416</v>
      </c>
      <c r="O123" s="691"/>
      <c r="P123" s="691"/>
      <c r="Q123" s="691"/>
      <c r="R123" s="691"/>
      <c r="S123" s="692">
        <f>COUNTIFS('Neuropsychological Evals'!E14:E1911,"Putnam")</f>
        <v>0</v>
      </c>
      <c r="T123" s="692"/>
      <c r="U123" s="692"/>
      <c r="V123" s="692"/>
      <c r="W123" s="692"/>
      <c r="X123" s="692"/>
      <c r="Y123" s="15"/>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c r="BP123" s="39"/>
      <c r="BQ123" s="39"/>
      <c r="BS123" s="39"/>
      <c r="BT123" s="39"/>
      <c r="BU123" s="39"/>
      <c r="BV123" s="39"/>
      <c r="BW123" s="39"/>
      <c r="BX123" s="39"/>
      <c r="BY123" s="39"/>
      <c r="BZ123" s="39"/>
      <c r="CA123" s="39"/>
      <c r="CB123" s="39"/>
      <c r="CC123" s="39"/>
      <c r="CD123" s="39"/>
      <c r="CE123" s="39"/>
      <c r="CF123" s="39"/>
      <c r="CG123" s="39"/>
      <c r="CH123" s="39"/>
    </row>
    <row r="124" spans="1:86" ht="24.95" customHeight="1" x14ac:dyDescent="0.25">
      <c r="A124" s="20">
        <f t="shared" ref="A124:A139" si="20">ROW(A27)</f>
        <v>27</v>
      </c>
      <c r="B124" s="691" t="s">
        <v>418</v>
      </c>
      <c r="C124" s="691"/>
      <c r="D124" s="691"/>
      <c r="E124" s="691"/>
      <c r="F124" s="691"/>
      <c r="G124" s="692">
        <f>COUNTIFS('Neuropsychological Evals'!E14:E1911,"Greenbrier")</f>
        <v>0</v>
      </c>
      <c r="H124" s="692"/>
      <c r="I124" s="692"/>
      <c r="J124" s="692"/>
      <c r="K124" s="692"/>
      <c r="L124" s="692"/>
      <c r="M124" s="20">
        <f t="shared" si="19"/>
        <v>55</v>
      </c>
      <c r="N124" s="691" t="s">
        <v>419</v>
      </c>
      <c r="O124" s="691"/>
      <c r="P124" s="691"/>
      <c r="Q124" s="691"/>
      <c r="R124" s="691"/>
      <c r="S124" s="692">
        <f>COUNTIFS('Neuropsychological Evals'!E14:E1911,"Raleigh")</f>
        <v>0</v>
      </c>
      <c r="T124" s="692"/>
      <c r="U124" s="692"/>
      <c r="V124" s="692"/>
      <c r="W124" s="692"/>
      <c r="X124" s="692"/>
      <c r="Y124" s="15"/>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c r="BS124" s="39"/>
      <c r="BT124" s="39"/>
      <c r="BU124" s="39"/>
      <c r="BV124" s="39"/>
      <c r="BW124" s="39"/>
      <c r="BX124" s="39"/>
      <c r="BY124" s="39"/>
      <c r="BZ124" s="39"/>
      <c r="CA124" s="39"/>
      <c r="CB124" s="39"/>
      <c r="CC124" s="39"/>
      <c r="CD124" s="39"/>
      <c r="CE124" s="39"/>
      <c r="CF124" s="39"/>
      <c r="CG124" s="39"/>
      <c r="CH124" s="39"/>
    </row>
    <row r="125" spans="1:86" ht="24.95" customHeight="1" x14ac:dyDescent="0.25">
      <c r="A125" s="20">
        <f t="shared" si="20"/>
        <v>28</v>
      </c>
      <c r="B125" s="691" t="s">
        <v>420</v>
      </c>
      <c r="C125" s="691"/>
      <c r="D125" s="691"/>
      <c r="E125" s="691"/>
      <c r="F125" s="691"/>
      <c r="G125" s="692">
        <f>COUNTIFS('Neuropsychological Evals'!E14:E1911,"Hampshire")</f>
        <v>0</v>
      </c>
      <c r="H125" s="692"/>
      <c r="I125" s="692"/>
      <c r="J125" s="692"/>
      <c r="K125" s="692"/>
      <c r="L125" s="692"/>
      <c r="M125" s="20">
        <f t="shared" si="19"/>
        <v>56</v>
      </c>
      <c r="N125" s="691" t="s">
        <v>421</v>
      </c>
      <c r="O125" s="691"/>
      <c r="P125" s="691"/>
      <c r="Q125" s="691"/>
      <c r="R125" s="691"/>
      <c r="S125" s="692">
        <f>COUNTIFS('Neuropsychological Evals'!E14:E1911,"Randolph")</f>
        <v>0</v>
      </c>
      <c r="T125" s="692"/>
      <c r="U125" s="692"/>
      <c r="V125" s="692"/>
      <c r="W125" s="692"/>
      <c r="X125" s="692"/>
      <c r="Y125" s="15"/>
      <c r="Z125" s="887" t="s">
        <v>243</v>
      </c>
      <c r="AA125" s="888"/>
      <c r="AB125" s="888"/>
      <c r="AC125" s="888"/>
      <c r="AD125" s="888"/>
      <c r="AE125" s="888"/>
      <c r="AF125" s="888"/>
      <c r="AG125" s="888"/>
      <c r="AH125" s="889"/>
      <c r="AI125" s="911" t="s">
        <v>469</v>
      </c>
      <c r="AJ125" s="912"/>
      <c r="AK125" s="912"/>
      <c r="AL125" s="912"/>
      <c r="AM125" s="913"/>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c r="BP125" s="39"/>
      <c r="BQ125" s="39"/>
      <c r="BS125" s="39"/>
      <c r="BT125" s="39"/>
      <c r="BU125" s="39"/>
      <c r="BV125" s="39"/>
      <c r="BW125" s="39"/>
      <c r="BX125" s="39"/>
      <c r="BY125" s="39"/>
      <c r="BZ125" s="39"/>
      <c r="CA125" s="39"/>
      <c r="CB125" s="39"/>
      <c r="CC125" s="39"/>
      <c r="CD125" s="39"/>
      <c r="CE125" s="39"/>
      <c r="CF125" s="39"/>
      <c r="CG125" s="39"/>
      <c r="CH125" s="39"/>
    </row>
    <row r="126" spans="1:86" ht="24.95" customHeight="1" x14ac:dyDescent="0.25">
      <c r="A126" s="20">
        <f t="shared" si="20"/>
        <v>29</v>
      </c>
      <c r="B126" s="404" t="s">
        <v>422</v>
      </c>
      <c r="C126" s="404"/>
      <c r="D126" s="404"/>
      <c r="E126" s="404"/>
      <c r="F126" s="404"/>
      <c r="G126" s="692">
        <f>COUNTIFS('Neuropsychological Evals'!E14:E1911,"Hancock")</f>
        <v>0</v>
      </c>
      <c r="H126" s="692"/>
      <c r="I126" s="692"/>
      <c r="J126" s="692"/>
      <c r="K126" s="692"/>
      <c r="L126" s="692"/>
      <c r="M126" s="20">
        <f t="shared" si="19"/>
        <v>57</v>
      </c>
      <c r="N126" s="691" t="s">
        <v>423</v>
      </c>
      <c r="O126" s="691"/>
      <c r="P126" s="691"/>
      <c r="Q126" s="691"/>
      <c r="R126" s="691"/>
      <c r="S126" s="692">
        <f>COUNTIFS('Neuropsychological Evals'!E14:E1911,"Ritchie")</f>
        <v>0</v>
      </c>
      <c r="T126" s="692"/>
      <c r="U126" s="692"/>
      <c r="V126" s="692"/>
      <c r="W126" s="692"/>
      <c r="X126" s="692"/>
      <c r="Y126" s="15"/>
      <c r="Z126" s="890" t="s">
        <v>379</v>
      </c>
      <c r="AA126" s="891"/>
      <c r="AB126" s="891"/>
      <c r="AC126" s="891"/>
      <c r="AD126" s="891"/>
      <c r="AE126" s="891"/>
      <c r="AF126" s="891"/>
      <c r="AG126" s="891"/>
      <c r="AH126" s="892"/>
      <c r="AI126" s="898">
        <f>COUNTIFS('Neuropsychological Evals'!I14:I4895,"Not Hispanic or Latino")</f>
        <v>0</v>
      </c>
      <c r="AJ126" s="899"/>
      <c r="AK126" s="899"/>
      <c r="AL126" s="899"/>
      <c r="AM126" s="900"/>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S126" s="39"/>
      <c r="BT126" s="39"/>
      <c r="BU126" s="39"/>
      <c r="BV126" s="39"/>
      <c r="BW126" s="39"/>
      <c r="BX126" s="39"/>
      <c r="BY126" s="39"/>
      <c r="BZ126" s="39"/>
      <c r="CA126" s="39"/>
      <c r="CB126" s="39"/>
      <c r="CC126" s="39"/>
      <c r="CD126" s="39"/>
      <c r="CE126" s="39"/>
      <c r="CF126" s="39"/>
      <c r="CG126" s="39"/>
      <c r="CH126" s="39"/>
    </row>
    <row r="127" spans="1:86" ht="24.95" customHeight="1" x14ac:dyDescent="0.25">
      <c r="A127" s="20">
        <f t="shared" si="20"/>
        <v>30</v>
      </c>
      <c r="B127" s="691" t="s">
        <v>425</v>
      </c>
      <c r="C127" s="691"/>
      <c r="D127" s="691"/>
      <c r="E127" s="691"/>
      <c r="F127" s="691"/>
      <c r="G127" s="692">
        <f>COUNTIFS('Neuropsychological Evals'!E14:E1911,"Hardy")</f>
        <v>0</v>
      </c>
      <c r="H127" s="692"/>
      <c r="I127" s="692"/>
      <c r="J127" s="692"/>
      <c r="K127" s="692"/>
      <c r="L127" s="692"/>
      <c r="M127" s="20">
        <f t="shared" si="19"/>
        <v>58</v>
      </c>
      <c r="N127" s="691" t="s">
        <v>426</v>
      </c>
      <c r="O127" s="691"/>
      <c r="P127" s="691"/>
      <c r="Q127" s="691"/>
      <c r="R127" s="691"/>
      <c r="S127" s="692">
        <f>COUNTIFS('Neuropsychological Evals'!E14:E1911,"Roane")</f>
        <v>0</v>
      </c>
      <c r="T127" s="692"/>
      <c r="U127" s="692"/>
      <c r="V127" s="692"/>
      <c r="W127" s="692"/>
      <c r="X127" s="692"/>
      <c r="Y127" s="15"/>
      <c r="Z127" s="890" t="s">
        <v>507</v>
      </c>
      <c r="AA127" s="891"/>
      <c r="AB127" s="891"/>
      <c r="AC127" s="891"/>
      <c r="AD127" s="891"/>
      <c r="AE127" s="891"/>
      <c r="AF127" s="891"/>
      <c r="AG127" s="891"/>
      <c r="AH127" s="892"/>
      <c r="AI127" s="898">
        <f>COUNTIFS('Neuropsychological Evals'!I14:I4895,"Hispanic-Latino ")</f>
        <v>0</v>
      </c>
      <c r="AJ127" s="899"/>
      <c r="AK127" s="899"/>
      <c r="AL127" s="899"/>
      <c r="AM127" s="900"/>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c r="BQ127" s="39"/>
      <c r="BS127" s="39"/>
      <c r="BT127" s="39"/>
      <c r="BU127" s="39"/>
      <c r="BV127" s="39"/>
      <c r="BW127" s="39"/>
      <c r="BX127" s="39"/>
      <c r="BY127" s="39"/>
      <c r="BZ127" s="39"/>
      <c r="CA127" s="39"/>
      <c r="CB127" s="39"/>
      <c r="CC127" s="39"/>
      <c r="CD127" s="39"/>
      <c r="CE127" s="39"/>
      <c r="CF127" s="39"/>
      <c r="CG127" s="39"/>
      <c r="CH127" s="39"/>
    </row>
    <row r="128" spans="1:86" ht="24.95" customHeight="1" x14ac:dyDescent="0.25">
      <c r="A128" s="20">
        <f t="shared" si="20"/>
        <v>31</v>
      </c>
      <c r="B128" s="691" t="s">
        <v>427</v>
      </c>
      <c r="C128" s="691"/>
      <c r="D128" s="691"/>
      <c r="E128" s="691"/>
      <c r="F128" s="691"/>
      <c r="G128" s="692">
        <f>COUNTIFS('Neuropsychological Evals'!E14:E1911,"Harrison")</f>
        <v>0</v>
      </c>
      <c r="H128" s="692"/>
      <c r="I128" s="692"/>
      <c r="J128" s="692"/>
      <c r="K128" s="692"/>
      <c r="L128" s="692"/>
      <c r="M128" s="20">
        <f t="shared" si="19"/>
        <v>59</v>
      </c>
      <c r="N128" s="691" t="s">
        <v>428</v>
      </c>
      <c r="O128" s="691"/>
      <c r="P128" s="691"/>
      <c r="Q128" s="691"/>
      <c r="R128" s="691"/>
      <c r="S128" s="692">
        <f>COUNTIFS('Neuropsychological Evals'!E14:E1911,"Summers")</f>
        <v>0</v>
      </c>
      <c r="T128" s="692"/>
      <c r="U128" s="692"/>
      <c r="V128" s="692"/>
      <c r="W128" s="692"/>
      <c r="X128" s="692"/>
      <c r="Y128" s="15"/>
      <c r="Z128" s="890" t="s">
        <v>377</v>
      </c>
      <c r="AA128" s="891"/>
      <c r="AB128" s="891"/>
      <c r="AC128" s="891"/>
      <c r="AD128" s="891"/>
      <c r="AE128" s="891"/>
      <c r="AF128" s="891"/>
      <c r="AG128" s="891"/>
      <c r="AH128" s="892"/>
      <c r="AI128" s="898">
        <f>COUNTIFS('Neuropsychological Evals'!I14:I4895,"Unknown")</f>
        <v>0</v>
      </c>
      <c r="AJ128" s="899"/>
      <c r="AK128" s="899"/>
      <c r="AL128" s="899"/>
      <c r="AM128" s="900"/>
      <c r="AN128" s="18"/>
      <c r="AO128" s="18"/>
      <c r="AP128" s="18"/>
      <c r="AQ128" s="18"/>
      <c r="AR128" s="18"/>
      <c r="AS128" s="57"/>
      <c r="AT128" s="57"/>
      <c r="AU128" s="57"/>
      <c r="AV128" s="57"/>
      <c r="AW128" s="57"/>
      <c r="AX128" s="57"/>
      <c r="AY128" s="57"/>
      <c r="AZ128" s="57"/>
      <c r="BA128" s="57"/>
      <c r="BB128" s="58"/>
      <c r="BC128" s="58"/>
      <c r="BD128" s="58"/>
      <c r="BE128" s="58"/>
      <c r="BF128" s="58"/>
    </row>
    <row r="129" spans="1:84" ht="24.95" customHeight="1" x14ac:dyDescent="0.25">
      <c r="A129" s="20">
        <f t="shared" si="20"/>
        <v>32</v>
      </c>
      <c r="B129" s="691" t="s">
        <v>429</v>
      </c>
      <c r="C129" s="691"/>
      <c r="D129" s="691"/>
      <c r="E129" s="691"/>
      <c r="F129" s="691"/>
      <c r="G129" s="692">
        <f>COUNTIFS('Neuropsychological Evals'!E14:E1911,"Jackson")</f>
        <v>0</v>
      </c>
      <c r="H129" s="692"/>
      <c r="I129" s="692"/>
      <c r="J129" s="692"/>
      <c r="K129" s="692"/>
      <c r="L129" s="692"/>
      <c r="M129" s="20">
        <f t="shared" si="19"/>
        <v>60</v>
      </c>
      <c r="N129" s="691" t="s">
        <v>430</v>
      </c>
      <c r="O129" s="691"/>
      <c r="P129" s="691"/>
      <c r="Q129" s="691"/>
      <c r="R129" s="691"/>
      <c r="S129" s="692">
        <f>COUNTIFS('Neuropsychological Evals'!E14:E1911,"Taylor")</f>
        <v>0</v>
      </c>
      <c r="T129" s="692"/>
      <c r="U129" s="692"/>
      <c r="V129" s="692"/>
      <c r="W129" s="692"/>
      <c r="X129" s="692"/>
      <c r="Y129" s="15"/>
      <c r="Z129" s="901"/>
      <c r="AA129" s="902"/>
      <c r="AB129" s="902"/>
      <c r="AC129" s="902"/>
      <c r="AD129" s="902"/>
      <c r="AE129" s="902"/>
      <c r="AF129" s="902"/>
      <c r="AG129" s="902"/>
      <c r="AH129" s="903"/>
      <c r="AI129" s="904"/>
      <c r="AJ129" s="905"/>
      <c r="AK129" s="905"/>
      <c r="AL129" s="905"/>
      <c r="AM129" s="906"/>
      <c r="AN129" s="11"/>
      <c r="AO129" s="11"/>
      <c r="AP129" s="11"/>
      <c r="AQ129" s="11"/>
      <c r="AR129" s="11"/>
      <c r="AS129" s="59"/>
      <c r="AT129" s="59"/>
      <c r="AU129" s="59"/>
      <c r="AV129" s="59"/>
      <c r="AW129" s="59"/>
      <c r="AX129" s="59"/>
      <c r="AY129" s="59"/>
      <c r="AZ129" s="59"/>
      <c r="BA129" s="59"/>
      <c r="BB129" s="39"/>
      <c r="BC129" s="39"/>
      <c r="BD129" s="39"/>
      <c r="BE129" s="39"/>
      <c r="BF129" s="39"/>
      <c r="BV129" s="21"/>
      <c r="BW129" s="21"/>
      <c r="BX129" s="21"/>
    </row>
    <row r="130" spans="1:84" ht="24.95" customHeight="1" x14ac:dyDescent="0.25">
      <c r="A130" s="20">
        <f t="shared" si="20"/>
        <v>33</v>
      </c>
      <c r="B130" s="691" t="s">
        <v>432</v>
      </c>
      <c r="C130" s="691"/>
      <c r="D130" s="691"/>
      <c r="E130" s="691"/>
      <c r="F130" s="691"/>
      <c r="G130" s="692">
        <f>COUNTIFS('Neuropsychological Evals'!E14:E1911,"Jefferson")</f>
        <v>0</v>
      </c>
      <c r="H130" s="692"/>
      <c r="I130" s="692"/>
      <c r="J130" s="692"/>
      <c r="K130" s="692"/>
      <c r="L130" s="692"/>
      <c r="M130" s="20">
        <f t="shared" si="19"/>
        <v>61</v>
      </c>
      <c r="N130" s="691" t="s">
        <v>433</v>
      </c>
      <c r="O130" s="691"/>
      <c r="P130" s="691"/>
      <c r="Q130" s="691"/>
      <c r="R130" s="691"/>
      <c r="S130" s="692">
        <f>COUNTIFS('Neuropsychological Evals'!E14:E1911,"Tucker")</f>
        <v>0</v>
      </c>
      <c r="T130" s="692"/>
      <c r="U130" s="692"/>
      <c r="V130" s="692"/>
      <c r="W130" s="692"/>
      <c r="X130" s="692"/>
      <c r="Y130" s="15"/>
      <c r="Z130" s="881" t="s">
        <v>412</v>
      </c>
      <c r="AA130" s="882"/>
      <c r="AB130" s="882"/>
      <c r="AC130" s="882"/>
      <c r="AD130" s="882"/>
      <c r="AE130" s="882"/>
      <c r="AF130" s="882"/>
      <c r="AG130" s="882"/>
      <c r="AH130" s="883"/>
      <c r="AI130" s="884">
        <f>SUM(AI126:AI128)</f>
        <v>0</v>
      </c>
      <c r="AJ130" s="885"/>
      <c r="AK130" s="885"/>
      <c r="AL130" s="885"/>
      <c r="AM130" s="886"/>
      <c r="AS130" s="59"/>
      <c r="AT130" s="59"/>
      <c r="AU130" s="59"/>
      <c r="AV130" s="59"/>
      <c r="AW130" s="59"/>
      <c r="AX130" s="59"/>
      <c r="AY130" s="59"/>
      <c r="AZ130" s="59"/>
      <c r="BA130" s="59"/>
      <c r="BB130" s="39"/>
      <c r="BC130" s="39"/>
      <c r="BD130" s="39"/>
      <c r="BE130" s="39"/>
      <c r="BF130" s="39"/>
      <c r="BV130" s="22"/>
      <c r="BW130" s="22"/>
      <c r="BX130" s="22"/>
      <c r="CF130">
        <v>15</v>
      </c>
    </row>
    <row r="131" spans="1:84" ht="24.95" customHeight="1" x14ac:dyDescent="0.25">
      <c r="A131" s="20">
        <f t="shared" si="20"/>
        <v>34</v>
      </c>
      <c r="B131" s="691" t="s">
        <v>435</v>
      </c>
      <c r="C131" s="691"/>
      <c r="D131" s="691"/>
      <c r="E131" s="691"/>
      <c r="F131" s="691"/>
      <c r="G131" s="692">
        <f>COUNTIFS('Neuropsychological Evals'!E14:E1911,"Kanawha")</f>
        <v>0</v>
      </c>
      <c r="H131" s="692"/>
      <c r="I131" s="692"/>
      <c r="J131" s="692"/>
      <c r="K131" s="692"/>
      <c r="L131" s="692"/>
      <c r="M131" s="20">
        <f t="shared" si="19"/>
        <v>62</v>
      </c>
      <c r="N131" s="691" t="s">
        <v>436</v>
      </c>
      <c r="O131" s="691"/>
      <c r="P131" s="691"/>
      <c r="Q131" s="691"/>
      <c r="R131" s="691"/>
      <c r="S131" s="692">
        <f>COUNTIFS('Neuropsychological Evals'!E14:E1911,"Tyler")</f>
        <v>0</v>
      </c>
      <c r="T131" s="692"/>
      <c r="U131" s="692"/>
      <c r="V131" s="692"/>
      <c r="W131" s="692"/>
      <c r="X131" s="692"/>
      <c r="Y131" s="15"/>
      <c r="Z131" s="59"/>
      <c r="AA131" s="59"/>
      <c r="AB131" s="59"/>
      <c r="AC131" s="59"/>
      <c r="AD131" s="59"/>
      <c r="AE131" s="59"/>
      <c r="AF131" s="59"/>
      <c r="AG131" s="59"/>
      <c r="AH131" s="59"/>
      <c r="AI131" s="39"/>
      <c r="AJ131" s="39"/>
      <c r="AK131" s="39"/>
      <c r="AL131" s="39"/>
      <c r="AM131" s="39"/>
      <c r="AS131" s="59"/>
      <c r="AT131" s="59"/>
      <c r="AU131" s="59"/>
      <c r="AV131" s="59"/>
      <c r="AW131" s="59"/>
      <c r="AX131" s="59"/>
      <c r="AY131" s="59"/>
      <c r="AZ131" s="59"/>
      <c r="BA131" s="59"/>
      <c r="BB131" s="39"/>
      <c r="BC131" s="39"/>
      <c r="BD131" s="39"/>
      <c r="BE131" s="39"/>
      <c r="BF131" s="39"/>
      <c r="BV131" s="22"/>
      <c r="BW131" s="22"/>
      <c r="BX131" s="22"/>
      <c r="CF131">
        <v>22</v>
      </c>
    </row>
    <row r="132" spans="1:84" ht="24.95" customHeight="1" x14ac:dyDescent="0.25">
      <c r="A132" s="20">
        <f t="shared" si="20"/>
        <v>35</v>
      </c>
      <c r="B132" s="691" t="s">
        <v>439</v>
      </c>
      <c r="C132" s="691"/>
      <c r="D132" s="691"/>
      <c r="E132" s="691"/>
      <c r="F132" s="691"/>
      <c r="G132" s="692">
        <f>COUNTIFS('Neuropsychological Evals'!E14:E1911,"Lewis")</f>
        <v>0</v>
      </c>
      <c r="H132" s="692"/>
      <c r="I132" s="692"/>
      <c r="J132" s="692"/>
      <c r="K132" s="692"/>
      <c r="L132" s="692"/>
      <c r="M132" s="20">
        <f t="shared" si="19"/>
        <v>63</v>
      </c>
      <c r="N132" s="691" t="s">
        <v>440</v>
      </c>
      <c r="O132" s="691"/>
      <c r="P132" s="691"/>
      <c r="Q132" s="691"/>
      <c r="R132" s="691"/>
      <c r="S132" s="692">
        <f>COUNTIFS('Neuropsychological Evals'!E14:E1911,"Upshur")</f>
        <v>0</v>
      </c>
      <c r="T132" s="692"/>
      <c r="U132" s="692"/>
      <c r="V132" s="692"/>
      <c r="W132" s="692"/>
      <c r="X132" s="692"/>
      <c r="Y132" s="15"/>
      <c r="Z132" s="59"/>
      <c r="AA132" s="59"/>
      <c r="AB132" s="59"/>
      <c r="AC132" s="59"/>
      <c r="AD132" s="59"/>
      <c r="AE132" s="59"/>
      <c r="AF132" s="59"/>
      <c r="AG132" s="59"/>
      <c r="AH132" s="59"/>
      <c r="AI132" s="51"/>
      <c r="AJ132" s="51"/>
      <c r="AK132" s="51"/>
      <c r="AL132" s="51"/>
      <c r="AM132" s="51"/>
      <c r="AS132" s="59"/>
      <c r="AT132" s="59"/>
      <c r="AU132" s="59"/>
      <c r="AV132" s="59"/>
      <c r="AW132" s="59"/>
      <c r="AX132" s="59"/>
      <c r="AY132" s="59"/>
      <c r="AZ132" s="59"/>
      <c r="BA132" s="59"/>
      <c r="BB132" s="39"/>
      <c r="BC132" s="39"/>
      <c r="BD132" s="39"/>
      <c r="BE132" s="39"/>
      <c r="BF132" s="39"/>
    </row>
    <row r="133" spans="1:84" ht="24.95" customHeight="1" x14ac:dyDescent="0.3">
      <c r="A133" s="20">
        <f t="shared" si="20"/>
        <v>36</v>
      </c>
      <c r="B133" s="691" t="s">
        <v>443</v>
      </c>
      <c r="C133" s="691"/>
      <c r="D133" s="691"/>
      <c r="E133" s="691"/>
      <c r="F133" s="691"/>
      <c r="G133" s="692">
        <f>COUNTIFS('Neuropsychological Evals'!E14:E1911,"Lincoln")</f>
        <v>0</v>
      </c>
      <c r="H133" s="692"/>
      <c r="I133" s="692"/>
      <c r="J133" s="692"/>
      <c r="K133" s="692"/>
      <c r="L133" s="692"/>
      <c r="M133" s="20">
        <f t="shared" si="19"/>
        <v>64</v>
      </c>
      <c r="N133" s="691" t="s">
        <v>444</v>
      </c>
      <c r="O133" s="691"/>
      <c r="P133" s="691"/>
      <c r="Q133" s="691"/>
      <c r="R133" s="691"/>
      <c r="S133" s="692">
        <f>COUNTIFS('Neuropsychological Evals'!E14:E1911,"Wayne")</f>
        <v>0</v>
      </c>
      <c r="T133" s="692"/>
      <c r="U133" s="692"/>
      <c r="V133" s="692"/>
      <c r="W133" s="692"/>
      <c r="X133" s="692"/>
      <c r="Y133" s="15"/>
      <c r="Z133" s="59"/>
      <c r="AA133" s="59"/>
      <c r="AB133" s="59"/>
      <c r="AC133" s="59"/>
      <c r="AD133" s="59"/>
      <c r="AE133" s="59"/>
      <c r="AF133" s="59"/>
      <c r="AG133" s="59"/>
      <c r="AH133" s="59"/>
      <c r="AI133" s="53"/>
      <c r="AJ133" s="53"/>
      <c r="AK133" s="53"/>
      <c r="AL133" s="53"/>
      <c r="AM133" s="53"/>
      <c r="AS133" s="59"/>
      <c r="AT133" s="59"/>
      <c r="AU133" s="59"/>
      <c r="AV133" s="59"/>
      <c r="AW133" s="59"/>
      <c r="AX133" s="59"/>
      <c r="AY133" s="59"/>
      <c r="AZ133" s="59"/>
      <c r="BA133" s="59"/>
      <c r="BB133" s="39"/>
      <c r="BC133" s="39"/>
      <c r="BD133" s="39"/>
      <c r="BE133" s="39"/>
      <c r="BF133" s="39"/>
    </row>
    <row r="134" spans="1:84" ht="24.95" customHeight="1" x14ac:dyDescent="0.25">
      <c r="A134" s="20">
        <f t="shared" si="20"/>
        <v>37</v>
      </c>
      <c r="B134" s="691" t="s">
        <v>447</v>
      </c>
      <c r="C134" s="691"/>
      <c r="D134" s="691"/>
      <c r="E134" s="691"/>
      <c r="F134" s="691"/>
      <c r="G134" s="692">
        <f>COUNTIFS('Neuropsychological Evals'!E14:E1911,"Logan")</f>
        <v>0</v>
      </c>
      <c r="H134" s="692"/>
      <c r="I134" s="692"/>
      <c r="J134" s="692"/>
      <c r="K134" s="692"/>
      <c r="L134" s="692"/>
      <c r="M134" s="20">
        <f t="shared" si="19"/>
        <v>65</v>
      </c>
      <c r="N134" s="691" t="s">
        <v>448</v>
      </c>
      <c r="O134" s="691"/>
      <c r="P134" s="691"/>
      <c r="Q134" s="691"/>
      <c r="R134" s="691"/>
      <c r="S134" s="692">
        <f>COUNTIFS('Neuropsychological Evals'!E14:E1911,"Webster")</f>
        <v>0</v>
      </c>
      <c r="T134" s="692"/>
      <c r="U134" s="692"/>
      <c r="V134" s="692"/>
      <c r="W134" s="692"/>
      <c r="X134" s="692"/>
      <c r="Y134" s="15"/>
      <c r="AN134" s="16"/>
      <c r="AO134" s="16"/>
      <c r="AP134" s="16"/>
      <c r="AQ134" s="15"/>
      <c r="AR134" s="15"/>
      <c r="AS134" s="59"/>
      <c r="AT134" s="59"/>
      <c r="AU134" s="59"/>
      <c r="AV134" s="59"/>
      <c r="AW134" s="59"/>
      <c r="AX134" s="59"/>
      <c r="AY134" s="59"/>
      <c r="AZ134" s="59"/>
      <c r="BA134" s="59"/>
      <c r="BB134" s="39"/>
      <c r="BC134" s="39"/>
      <c r="BD134" s="39"/>
      <c r="BE134" s="39"/>
      <c r="BF134" s="39"/>
    </row>
    <row r="135" spans="1:84" ht="24.95" customHeight="1" x14ac:dyDescent="0.25">
      <c r="A135" s="20">
        <f t="shared" si="20"/>
        <v>38</v>
      </c>
      <c r="B135" s="691" t="s">
        <v>450</v>
      </c>
      <c r="C135" s="691"/>
      <c r="D135" s="691"/>
      <c r="E135" s="691"/>
      <c r="F135" s="691"/>
      <c r="G135" s="692">
        <f>COUNTIFS('Neuropsychological Evals'!E14:E1911,"Marion")</f>
        <v>0</v>
      </c>
      <c r="H135" s="692"/>
      <c r="I135" s="692"/>
      <c r="J135" s="692"/>
      <c r="K135" s="692"/>
      <c r="L135" s="692"/>
      <c r="M135" s="20">
        <f t="shared" si="19"/>
        <v>66</v>
      </c>
      <c r="N135" s="404" t="s">
        <v>451</v>
      </c>
      <c r="O135" s="404"/>
      <c r="P135" s="404"/>
      <c r="Q135" s="404"/>
      <c r="R135" s="404"/>
      <c r="S135" s="692">
        <f>COUNTIFS('Neuropsychological Evals'!E14:E1911,"Wetzel")</f>
        <v>0</v>
      </c>
      <c r="T135" s="692"/>
      <c r="U135" s="692"/>
      <c r="V135" s="692"/>
      <c r="W135" s="692"/>
      <c r="X135" s="692"/>
      <c r="Y135" s="15"/>
      <c r="Z135" s="15"/>
      <c r="AA135" s="15"/>
      <c r="AB135" s="16"/>
      <c r="AC135" s="16"/>
      <c r="AD135" s="16"/>
      <c r="AE135" s="16"/>
      <c r="AF135" s="16"/>
      <c r="AG135" s="16"/>
      <c r="AH135" s="16"/>
      <c r="AI135" s="16"/>
      <c r="AJ135" s="16"/>
      <c r="AK135" s="16"/>
      <c r="AL135" s="16"/>
      <c r="AM135" s="16"/>
      <c r="AN135" s="16"/>
      <c r="AO135" s="16"/>
      <c r="AP135" s="16"/>
      <c r="AQ135" s="15"/>
      <c r="AR135" s="15"/>
      <c r="AS135" s="59"/>
      <c r="AT135" s="59"/>
      <c r="AU135" s="59"/>
      <c r="AV135" s="59"/>
      <c r="AW135" s="59"/>
      <c r="AX135" s="59"/>
      <c r="AY135" s="59"/>
      <c r="AZ135" s="59"/>
      <c r="BA135" s="59"/>
      <c r="BB135" s="51"/>
      <c r="BC135" s="51"/>
      <c r="BD135" s="51"/>
      <c r="BE135" s="51"/>
      <c r="BF135" s="51"/>
    </row>
    <row r="136" spans="1:84" ht="24.95" customHeight="1" x14ac:dyDescent="0.3">
      <c r="A136" s="20">
        <f t="shared" si="20"/>
        <v>39</v>
      </c>
      <c r="B136" s="404" t="s">
        <v>453</v>
      </c>
      <c r="C136" s="404"/>
      <c r="D136" s="404"/>
      <c r="E136" s="404"/>
      <c r="F136" s="404"/>
      <c r="G136" s="692">
        <f>COUNTIFS('Neuropsychological Evals'!E14:E1911,"Marshall")</f>
        <v>0</v>
      </c>
      <c r="H136" s="692"/>
      <c r="I136" s="692"/>
      <c r="J136" s="692"/>
      <c r="K136" s="692"/>
      <c r="L136" s="692"/>
      <c r="M136" s="20">
        <f t="shared" si="19"/>
        <v>67</v>
      </c>
      <c r="N136" s="691" t="s">
        <v>454</v>
      </c>
      <c r="O136" s="691"/>
      <c r="P136" s="691"/>
      <c r="Q136" s="691"/>
      <c r="R136" s="691"/>
      <c r="S136" s="692">
        <f>COUNTIFS('Neuropsychological Evals'!E14:E1911,"Wirt")</f>
        <v>0</v>
      </c>
      <c r="T136" s="692"/>
      <c r="U136" s="692"/>
      <c r="V136" s="692"/>
      <c r="W136" s="692"/>
      <c r="X136" s="692"/>
      <c r="Y136" s="15"/>
      <c r="Z136" s="15"/>
      <c r="AA136" s="15"/>
      <c r="AB136" s="11"/>
      <c r="AC136" s="11"/>
      <c r="AD136" s="11"/>
      <c r="AE136" s="11"/>
      <c r="AF136" s="11"/>
      <c r="AG136" s="11"/>
      <c r="AH136" s="11"/>
      <c r="AI136" s="11"/>
      <c r="AJ136" s="11"/>
      <c r="AK136" s="11"/>
      <c r="AL136" s="11"/>
      <c r="AM136" s="11"/>
      <c r="AN136" s="11"/>
      <c r="AO136" s="11"/>
      <c r="AP136" s="11"/>
      <c r="AQ136" s="15"/>
      <c r="AR136" s="15"/>
      <c r="AS136" s="59"/>
      <c r="AT136" s="59"/>
      <c r="AU136" s="59"/>
      <c r="AV136" s="59"/>
      <c r="AW136" s="59"/>
      <c r="AX136" s="59"/>
      <c r="AY136" s="59"/>
      <c r="AZ136" s="59"/>
      <c r="BA136" s="59"/>
      <c r="BB136" s="53"/>
      <c r="BC136" s="53"/>
      <c r="BD136" s="53"/>
      <c r="BE136" s="53"/>
      <c r="BF136" s="53"/>
    </row>
    <row r="137" spans="1:84" ht="24.95" customHeight="1" x14ac:dyDescent="0.25">
      <c r="A137" s="20">
        <f t="shared" si="20"/>
        <v>40</v>
      </c>
      <c r="B137" s="691" t="s">
        <v>457</v>
      </c>
      <c r="C137" s="691"/>
      <c r="D137" s="691"/>
      <c r="E137" s="691"/>
      <c r="F137" s="691"/>
      <c r="G137" s="692">
        <f>COUNTIFS('Neuropsychological Evals'!E14:E1911,"Mason")</f>
        <v>0</v>
      </c>
      <c r="H137" s="692"/>
      <c r="I137" s="692"/>
      <c r="J137" s="692"/>
      <c r="K137" s="692"/>
      <c r="L137" s="692"/>
      <c r="M137" s="20">
        <f t="shared" si="19"/>
        <v>68</v>
      </c>
      <c r="N137" s="691" t="s">
        <v>458</v>
      </c>
      <c r="O137" s="691"/>
      <c r="P137" s="691"/>
      <c r="Q137" s="691"/>
      <c r="R137" s="691"/>
      <c r="S137" s="692">
        <f>COUNTIFS('Neuropsychological Evals'!E14:E1911,"Wood")</f>
        <v>0</v>
      </c>
      <c r="T137" s="692"/>
      <c r="U137" s="692"/>
      <c r="V137" s="692"/>
      <c r="W137" s="692"/>
      <c r="X137" s="692"/>
      <c r="Y137" s="15"/>
      <c r="Z137" s="15"/>
      <c r="AA137" s="15"/>
      <c r="AB137" s="16"/>
      <c r="AC137" s="16"/>
      <c r="AD137" s="16"/>
      <c r="AE137" s="16"/>
      <c r="AF137" s="16"/>
      <c r="AG137" s="16"/>
      <c r="AH137" s="16"/>
      <c r="AI137" s="16"/>
      <c r="AJ137" s="16"/>
      <c r="AK137" s="16"/>
      <c r="AL137" s="16"/>
      <c r="AM137" s="16"/>
      <c r="AN137" s="16"/>
      <c r="AO137" s="16"/>
      <c r="AP137" s="16"/>
      <c r="AQ137" s="15"/>
      <c r="AR137" s="15"/>
      <c r="AS137" s="15"/>
      <c r="AT137" s="15"/>
    </row>
    <row r="138" spans="1:84" ht="24.95" customHeight="1" x14ac:dyDescent="0.25">
      <c r="A138" s="20">
        <f t="shared" si="20"/>
        <v>41</v>
      </c>
      <c r="B138" s="691" t="s">
        <v>460</v>
      </c>
      <c r="C138" s="691"/>
      <c r="D138" s="691"/>
      <c r="E138" s="691"/>
      <c r="F138" s="691"/>
      <c r="G138" s="692">
        <f>COUNTIFS('Neuropsychological Evals'!E14:E1911,"McDowell")</f>
        <v>0</v>
      </c>
      <c r="H138" s="692"/>
      <c r="I138" s="692"/>
      <c r="J138" s="692"/>
      <c r="K138" s="692"/>
      <c r="L138" s="692"/>
      <c r="M138" s="20">
        <f t="shared" si="19"/>
        <v>69</v>
      </c>
      <c r="N138" s="691" t="s">
        <v>461</v>
      </c>
      <c r="O138" s="691"/>
      <c r="P138" s="691"/>
      <c r="Q138" s="691"/>
      <c r="R138" s="691"/>
      <c r="S138" s="692">
        <f>COUNTIFS('Neuropsychological Evals'!E14:E1911,"Wyoming")</f>
        <v>0</v>
      </c>
      <c r="T138" s="692"/>
      <c r="U138" s="692"/>
      <c r="V138" s="692"/>
      <c r="W138" s="692"/>
      <c r="X138" s="692"/>
      <c r="Y138" s="15"/>
      <c r="Z138" s="15"/>
      <c r="AA138" s="15"/>
      <c r="AB138" s="16"/>
      <c r="AC138" s="16"/>
      <c r="AD138" s="16"/>
      <c r="AE138" s="16"/>
      <c r="AF138" s="16"/>
      <c r="AG138" s="16"/>
      <c r="AH138" s="16"/>
      <c r="AI138" s="16"/>
      <c r="AJ138" s="16"/>
      <c r="AK138" s="16"/>
      <c r="AL138" s="16"/>
      <c r="AM138" s="16"/>
      <c r="AN138" s="16"/>
      <c r="AO138" s="16"/>
      <c r="AP138" s="16"/>
      <c r="AQ138" s="15"/>
      <c r="AR138" s="15"/>
      <c r="AS138" s="15"/>
      <c r="AT138" s="15"/>
      <c r="AU138" s="15"/>
      <c r="AV138" s="15"/>
    </row>
    <row r="139" spans="1:84" ht="24.95" customHeight="1" x14ac:dyDescent="0.25">
      <c r="A139" s="20">
        <f t="shared" si="20"/>
        <v>42</v>
      </c>
      <c r="B139" s="691" t="s">
        <v>463</v>
      </c>
      <c r="C139" s="691"/>
      <c r="D139" s="691"/>
      <c r="E139" s="691"/>
      <c r="F139" s="691"/>
      <c r="G139" s="692">
        <f>COUNTIFS('Neuropsychological Evals'!E14:E1911,"Mercer")</f>
        <v>0</v>
      </c>
      <c r="H139" s="692"/>
      <c r="I139" s="692"/>
      <c r="J139" s="692"/>
      <c r="K139" s="692"/>
      <c r="L139" s="692"/>
      <c r="M139" s="693" t="s">
        <v>412</v>
      </c>
      <c r="N139" s="694"/>
      <c r="O139" s="694"/>
      <c r="P139" s="694"/>
      <c r="Q139" s="694"/>
      <c r="R139" s="695"/>
      <c r="S139" s="733">
        <f>SUM(S112:S138)</f>
        <v>0</v>
      </c>
      <c r="T139" s="733"/>
      <c r="U139" s="733"/>
      <c r="V139" s="733"/>
      <c r="W139" s="733"/>
      <c r="X139" s="733"/>
      <c r="Y139" s="15"/>
      <c r="Z139" s="15"/>
      <c r="AA139" s="15"/>
      <c r="AB139" s="16"/>
      <c r="AC139" s="16"/>
      <c r="AD139" s="16"/>
      <c r="AE139" s="16"/>
      <c r="AF139" s="16"/>
      <c r="AG139" s="16"/>
      <c r="AH139" s="16"/>
      <c r="AI139" s="16"/>
      <c r="AJ139" s="16"/>
      <c r="AK139" s="16"/>
      <c r="AL139" s="16"/>
      <c r="AM139" s="16"/>
      <c r="AN139" s="16"/>
      <c r="AO139" s="16"/>
      <c r="AP139" s="16"/>
      <c r="AQ139" s="15"/>
      <c r="AR139" s="15"/>
      <c r="AS139" s="15"/>
      <c r="AT139" s="15"/>
      <c r="AU139" s="15"/>
      <c r="AV139" s="15"/>
    </row>
    <row r="140" spans="1:84" ht="23.25" x14ac:dyDescent="0.25">
      <c r="A140" s="693" t="s">
        <v>412</v>
      </c>
      <c r="B140" s="694"/>
      <c r="C140" s="694"/>
      <c r="D140" s="694"/>
      <c r="E140" s="694"/>
      <c r="F140" s="695"/>
      <c r="G140" s="733">
        <f>SUM(G112:G139)</f>
        <v>0</v>
      </c>
      <c r="H140" s="733"/>
      <c r="I140" s="733"/>
      <c r="J140" s="733"/>
      <c r="K140" s="733"/>
      <c r="L140" s="733"/>
      <c r="M140" s="734" t="s">
        <v>508</v>
      </c>
      <c r="N140" s="735"/>
      <c r="O140" s="735"/>
      <c r="P140" s="735"/>
      <c r="Q140" s="735"/>
      <c r="R140" s="736"/>
      <c r="S140" s="880">
        <f>G140+S139</f>
        <v>0</v>
      </c>
      <c r="T140" s="880"/>
      <c r="U140" s="880"/>
      <c r="V140" s="880"/>
      <c r="W140" s="880"/>
      <c r="X140" s="880"/>
    </row>
    <row r="143" spans="1:84" ht="21" x14ac:dyDescent="0.25">
      <c r="A143" s="685" t="s">
        <v>509</v>
      </c>
      <c r="B143" s="685"/>
      <c r="C143" s="685"/>
      <c r="D143" s="685"/>
      <c r="E143" s="685"/>
      <c r="F143" s="685"/>
      <c r="G143" s="685"/>
      <c r="H143" s="685"/>
      <c r="I143" s="685"/>
      <c r="J143" s="685"/>
      <c r="K143" s="685"/>
      <c r="L143" s="685"/>
      <c r="M143" s="685"/>
      <c r="N143" s="685"/>
      <c r="O143" s="685"/>
      <c r="P143" s="685"/>
      <c r="Q143" s="685"/>
      <c r="R143" s="685"/>
      <c r="S143" s="685"/>
      <c r="T143" s="685"/>
      <c r="U143" s="685"/>
      <c r="V143" s="685"/>
      <c r="W143" s="685"/>
      <c r="X143" s="685"/>
      <c r="Y143" s="685"/>
      <c r="Z143" s="685"/>
      <c r="AA143" s="685"/>
      <c r="AB143" s="685"/>
      <c r="AC143" s="685"/>
      <c r="AD143" s="685"/>
      <c r="AE143" s="685"/>
      <c r="AF143" s="685"/>
      <c r="AG143" s="685"/>
      <c r="AH143" s="685"/>
      <c r="AI143" s="685"/>
      <c r="AJ143" s="685"/>
      <c r="AK143" s="685"/>
      <c r="AL143" s="685"/>
      <c r="AM143" s="685"/>
      <c r="AN143" s="685"/>
      <c r="AO143" s="685"/>
      <c r="AP143" s="685"/>
      <c r="AQ143" s="685"/>
      <c r="AR143" s="685"/>
      <c r="AS143" s="685"/>
      <c r="AT143" s="685"/>
      <c r="AU143" s="685"/>
      <c r="AV143" s="685"/>
      <c r="AW143" s="685"/>
      <c r="AX143" s="685"/>
      <c r="AY143" s="685"/>
    </row>
    <row r="146" spans="1:51" ht="39.950000000000003" customHeight="1" x14ac:dyDescent="0.25">
      <c r="A146" s="696" t="s">
        <v>510</v>
      </c>
      <c r="B146" s="696"/>
      <c r="C146" s="696"/>
      <c r="D146" s="696"/>
      <c r="E146" s="696"/>
      <c r="F146" s="696"/>
      <c r="G146" s="696"/>
      <c r="H146" s="696"/>
      <c r="I146" s="696"/>
      <c r="J146" s="696"/>
      <c r="K146" s="696"/>
      <c r="L146" s="696"/>
      <c r="M146" s="696"/>
      <c r="N146" s="696"/>
      <c r="O146" s="696"/>
      <c r="P146" s="696"/>
      <c r="Q146" s="696"/>
      <c r="R146" s="696"/>
      <c r="S146" s="696"/>
      <c r="T146" s="686" t="s">
        <v>511</v>
      </c>
      <c r="U146" s="686"/>
      <c r="V146" s="686"/>
      <c r="W146" s="686"/>
      <c r="X146" s="686"/>
      <c r="Y146" s="686" t="s">
        <v>512</v>
      </c>
      <c r="Z146" s="686"/>
      <c r="AA146" s="686"/>
      <c r="AB146" s="686"/>
      <c r="AC146" s="686"/>
    </row>
    <row r="147" spans="1:51" x14ac:dyDescent="0.25">
      <c r="A147" s="927" t="s">
        <v>329</v>
      </c>
      <c r="B147" s="927"/>
      <c r="C147" s="927"/>
      <c r="D147" s="927"/>
      <c r="E147" s="927"/>
      <c r="F147" s="927"/>
      <c r="G147" s="927"/>
      <c r="H147" s="927"/>
      <c r="I147" s="927"/>
      <c r="J147" s="927"/>
      <c r="K147" s="927"/>
      <c r="L147" s="927"/>
      <c r="M147" s="927"/>
      <c r="N147" s="927"/>
      <c r="O147" s="927"/>
      <c r="P147" s="927"/>
      <c r="Q147" s="927"/>
      <c r="R147" s="927"/>
      <c r="S147" s="927"/>
      <c r="T147" s="687">
        <f>COUNTIFS('Training &amp; TA'!C14:C5001,"Training")</f>
        <v>0</v>
      </c>
      <c r="U147" s="687"/>
      <c r="V147" s="687"/>
      <c r="W147" s="687"/>
      <c r="X147" s="687"/>
      <c r="Y147" s="687">
        <f>SUMIF('Training &amp; TA'!C14:C5001,"Training",'Training &amp; TA'!G14:G5001)</f>
        <v>0</v>
      </c>
      <c r="Z147" s="687"/>
      <c r="AA147" s="687"/>
      <c r="AB147" s="687"/>
      <c r="AC147" s="687"/>
    </row>
    <row r="148" spans="1:51" x14ac:dyDescent="0.25">
      <c r="A148" s="698" t="s">
        <v>513</v>
      </c>
      <c r="B148" s="698"/>
      <c r="C148" s="698"/>
      <c r="D148" s="698"/>
      <c r="E148" s="698"/>
      <c r="F148" s="698"/>
      <c r="G148" s="698"/>
      <c r="H148" s="698"/>
      <c r="I148" s="698"/>
      <c r="J148" s="698"/>
      <c r="K148" s="698"/>
      <c r="L148" s="698"/>
      <c r="M148" s="698"/>
      <c r="N148" s="698"/>
      <c r="O148" s="698"/>
      <c r="P148" s="698"/>
      <c r="Q148" s="698"/>
      <c r="R148" s="698"/>
      <c r="S148" s="698"/>
      <c r="T148" s="688">
        <f>COUNTIFS('Training &amp; TA'!C14:C5001,"Technical Assistance")</f>
        <v>0</v>
      </c>
      <c r="U148" s="688"/>
      <c r="V148" s="688"/>
      <c r="W148" s="688"/>
      <c r="X148" s="688"/>
      <c r="Y148" s="688">
        <f>SUMIF('Training &amp; TA'!C14:C5001,"Technical Assistance",'Training &amp; TA'!G14:G5001)</f>
        <v>0</v>
      </c>
      <c r="Z148" s="688"/>
      <c r="AA148" s="688"/>
      <c r="AB148" s="688"/>
      <c r="AC148" s="688"/>
    </row>
    <row r="149" spans="1:51" x14ac:dyDescent="0.25">
      <c r="A149" s="699"/>
      <c r="B149" s="699"/>
      <c r="C149" s="699"/>
      <c r="D149" s="699"/>
      <c r="E149" s="699"/>
      <c r="F149" s="699"/>
      <c r="G149" s="699"/>
      <c r="H149" s="699"/>
      <c r="I149" s="699"/>
      <c r="J149" s="699"/>
      <c r="K149" s="699"/>
      <c r="L149" s="699"/>
      <c r="M149" s="699"/>
      <c r="N149" s="699"/>
      <c r="O149" s="699"/>
      <c r="P149" s="699"/>
      <c r="Q149" s="699"/>
      <c r="R149" s="699"/>
      <c r="S149" s="699"/>
      <c r="T149" s="689"/>
      <c r="U149" s="689"/>
      <c r="V149" s="689"/>
      <c r="W149" s="689"/>
      <c r="X149" s="689"/>
      <c r="Y149" s="689"/>
      <c r="Z149" s="689"/>
      <c r="AA149" s="689"/>
      <c r="AB149" s="689"/>
      <c r="AC149" s="689"/>
    </row>
    <row r="150" spans="1:51" x14ac:dyDescent="0.25">
      <c r="A150" s="699"/>
      <c r="B150" s="699"/>
      <c r="C150" s="699"/>
      <c r="D150" s="699"/>
      <c r="E150" s="699"/>
      <c r="F150" s="699"/>
      <c r="G150" s="699"/>
      <c r="H150" s="699"/>
      <c r="I150" s="699"/>
      <c r="J150" s="699"/>
      <c r="K150" s="699"/>
      <c r="L150" s="699"/>
      <c r="M150" s="699"/>
      <c r="N150" s="699"/>
      <c r="O150" s="699"/>
      <c r="P150" s="699"/>
      <c r="Q150" s="699"/>
      <c r="R150" s="699"/>
      <c r="S150" s="699"/>
      <c r="T150" s="689"/>
      <c r="U150" s="689"/>
      <c r="V150" s="689"/>
      <c r="W150" s="689"/>
      <c r="X150" s="689"/>
      <c r="Y150" s="689"/>
      <c r="Z150" s="689"/>
      <c r="AA150" s="689"/>
      <c r="AB150" s="689"/>
      <c r="AC150" s="689"/>
    </row>
    <row r="151" spans="1:51" ht="18.75" x14ac:dyDescent="0.25">
      <c r="A151" s="926" t="s">
        <v>412</v>
      </c>
      <c r="B151" s="926"/>
      <c r="C151" s="926"/>
      <c r="D151" s="926"/>
      <c r="E151" s="926"/>
      <c r="F151" s="926"/>
      <c r="G151" s="926"/>
      <c r="H151" s="926"/>
      <c r="I151" s="926"/>
      <c r="J151" s="926"/>
      <c r="K151" s="926"/>
      <c r="L151" s="926"/>
      <c r="M151" s="926"/>
      <c r="N151" s="926"/>
      <c r="O151" s="926"/>
      <c r="P151" s="926"/>
      <c r="Q151" s="926"/>
      <c r="R151" s="926"/>
      <c r="S151" s="926"/>
      <c r="T151" s="690">
        <f>SUM(T147:T150)</f>
        <v>0</v>
      </c>
      <c r="U151" s="690"/>
      <c r="V151" s="690"/>
      <c r="W151" s="690"/>
      <c r="X151" s="690"/>
      <c r="Y151" s="690">
        <f>SUM(Y147:Y150)</f>
        <v>0</v>
      </c>
      <c r="Z151" s="690"/>
      <c r="AA151" s="690"/>
      <c r="AB151" s="690"/>
      <c r="AC151" s="690"/>
    </row>
    <row r="155" spans="1:51" ht="21" x14ac:dyDescent="0.25">
      <c r="A155" s="685" t="s">
        <v>514</v>
      </c>
      <c r="B155" s="685"/>
      <c r="C155" s="685"/>
      <c r="D155" s="685"/>
      <c r="E155" s="685"/>
      <c r="F155" s="685"/>
      <c r="G155" s="685"/>
      <c r="H155" s="685"/>
      <c r="I155" s="685"/>
      <c r="J155" s="685"/>
      <c r="K155" s="685"/>
      <c r="L155" s="685"/>
      <c r="M155" s="685"/>
      <c r="N155" s="685"/>
      <c r="O155" s="685"/>
      <c r="P155" s="685"/>
      <c r="Q155" s="685"/>
      <c r="R155" s="685"/>
      <c r="S155" s="685"/>
      <c r="T155" s="685"/>
      <c r="U155" s="685"/>
      <c r="V155" s="685"/>
      <c r="W155" s="685"/>
      <c r="X155" s="685"/>
      <c r="Y155" s="685"/>
      <c r="Z155" s="685"/>
      <c r="AA155" s="685"/>
      <c r="AB155" s="685"/>
      <c r="AC155" s="685"/>
      <c r="AD155" s="685"/>
      <c r="AE155" s="685"/>
      <c r="AF155" s="685"/>
      <c r="AG155" s="685"/>
      <c r="AH155" s="685"/>
      <c r="AI155" s="685"/>
      <c r="AJ155" s="685"/>
      <c r="AK155" s="685"/>
      <c r="AL155" s="685"/>
      <c r="AM155" s="685"/>
      <c r="AN155" s="685"/>
      <c r="AO155" s="685"/>
      <c r="AP155" s="685"/>
      <c r="AQ155" s="685"/>
      <c r="AR155" s="685"/>
      <c r="AS155" s="685"/>
      <c r="AT155" s="685"/>
      <c r="AU155" s="685"/>
      <c r="AV155" s="685"/>
      <c r="AW155" s="685"/>
      <c r="AX155" s="685"/>
      <c r="AY155" s="685"/>
    </row>
    <row r="159" spans="1:51" ht="21" x14ac:dyDescent="0.25">
      <c r="A159" s="696" t="s">
        <v>515</v>
      </c>
      <c r="B159" s="696"/>
      <c r="C159" s="696"/>
      <c r="D159" s="696"/>
      <c r="E159" s="696"/>
      <c r="F159" s="696"/>
      <c r="G159" s="696"/>
      <c r="H159" s="696"/>
      <c r="I159" s="696"/>
      <c r="J159" s="696"/>
      <c r="K159" s="696"/>
      <c r="L159" s="696"/>
      <c r="M159" s="696"/>
      <c r="N159" s="696"/>
      <c r="O159" s="696"/>
      <c r="P159" s="696"/>
      <c r="Q159" s="696"/>
      <c r="R159" s="696"/>
      <c r="S159" s="696"/>
      <c r="T159" s="697" t="s">
        <v>516</v>
      </c>
      <c r="U159" s="697"/>
      <c r="V159" s="697"/>
      <c r="W159" s="697"/>
      <c r="X159" s="697"/>
      <c r="Y159" s="686" t="s">
        <v>512</v>
      </c>
      <c r="Z159" s="686"/>
      <c r="AA159" s="686"/>
      <c r="AB159" s="686"/>
      <c r="AC159" s="686"/>
    </row>
    <row r="160" spans="1:51" x14ac:dyDescent="0.25">
      <c r="A160" s="927" t="s">
        <v>517</v>
      </c>
      <c r="B160" s="927"/>
      <c r="C160" s="927"/>
      <c r="D160" s="927"/>
      <c r="E160" s="927"/>
      <c r="F160" s="927"/>
      <c r="G160" s="927"/>
      <c r="H160" s="927"/>
      <c r="I160" s="927"/>
      <c r="J160" s="927"/>
      <c r="K160" s="927"/>
      <c r="L160" s="927"/>
      <c r="M160" s="927"/>
      <c r="N160" s="927"/>
      <c r="O160" s="927"/>
      <c r="P160" s="927"/>
      <c r="Q160" s="927"/>
      <c r="R160" s="927"/>
      <c r="S160" s="927"/>
      <c r="T160" s="687">
        <f>COUNTIFS('Public Meetings'!E14:E5001,"Congressional District 1")</f>
        <v>0</v>
      </c>
      <c r="U160" s="687"/>
      <c r="V160" s="687"/>
      <c r="W160" s="687"/>
      <c r="X160" s="687"/>
      <c r="Y160" s="687">
        <f>SUMIF('Public Meetings'!E14:E5001,"Congressional District 1",'Public Meetings'!S14:S5001)</f>
        <v>0</v>
      </c>
      <c r="Z160" s="687"/>
      <c r="AA160" s="687"/>
      <c r="AB160" s="687"/>
      <c r="AC160" s="687"/>
    </row>
    <row r="161" spans="1:29" x14ac:dyDescent="0.25">
      <c r="A161" s="698" t="s">
        <v>518</v>
      </c>
      <c r="B161" s="698"/>
      <c r="C161" s="698"/>
      <c r="D161" s="698"/>
      <c r="E161" s="698"/>
      <c r="F161" s="698"/>
      <c r="G161" s="698"/>
      <c r="H161" s="698"/>
      <c r="I161" s="698"/>
      <c r="J161" s="698"/>
      <c r="K161" s="698"/>
      <c r="L161" s="698"/>
      <c r="M161" s="698"/>
      <c r="N161" s="698"/>
      <c r="O161" s="698"/>
      <c r="P161" s="698"/>
      <c r="Q161" s="698"/>
      <c r="R161" s="698"/>
      <c r="S161" s="698"/>
      <c r="T161" s="688">
        <f>COUNTIFS('Public Meetings'!E14:E5001,"Congressional District 2")</f>
        <v>0</v>
      </c>
      <c r="U161" s="688"/>
      <c r="V161" s="688"/>
      <c r="W161" s="688"/>
      <c r="X161" s="688"/>
      <c r="Y161" s="688">
        <f>SUMIF('Public Meetings'!E14:E5001,"Congressional District 2",'Public Meetings'!S14:S5001)</f>
        <v>0</v>
      </c>
      <c r="Z161" s="688"/>
      <c r="AA161" s="688"/>
      <c r="AB161" s="688"/>
      <c r="AC161" s="688"/>
    </row>
    <row r="162" spans="1:29" x14ac:dyDescent="0.25">
      <c r="A162" s="927" t="s">
        <v>519</v>
      </c>
      <c r="B162" s="927"/>
      <c r="C162" s="927"/>
      <c r="D162" s="927"/>
      <c r="E162" s="927"/>
      <c r="F162" s="927"/>
      <c r="G162" s="927"/>
      <c r="H162" s="927"/>
      <c r="I162" s="927"/>
      <c r="J162" s="927"/>
      <c r="K162" s="927"/>
      <c r="L162" s="927"/>
      <c r="M162" s="927"/>
      <c r="N162" s="927"/>
      <c r="O162" s="927"/>
      <c r="P162" s="927"/>
      <c r="Q162" s="927"/>
      <c r="R162" s="927"/>
      <c r="S162" s="927"/>
      <c r="T162" s="687">
        <f>COUNTIFS('Public Meetings'!E14:E5001,"Congressional District 3")</f>
        <v>0</v>
      </c>
      <c r="U162" s="687"/>
      <c r="V162" s="687"/>
      <c r="W162" s="687"/>
      <c r="X162" s="687"/>
      <c r="Y162" s="687">
        <f>SUMIF('Public Meetings'!E14:E5001,"Congressional District 3",'Public Meetings'!S14:S5001)</f>
        <v>0</v>
      </c>
      <c r="Z162" s="687"/>
      <c r="AA162" s="687"/>
      <c r="AB162" s="687"/>
      <c r="AC162" s="687"/>
    </row>
    <row r="163" spans="1:29" x14ac:dyDescent="0.25">
      <c r="A163" s="699"/>
      <c r="B163" s="699"/>
      <c r="C163" s="699"/>
      <c r="D163" s="699"/>
      <c r="E163" s="699"/>
      <c r="F163" s="699"/>
      <c r="G163" s="699"/>
      <c r="H163" s="699"/>
      <c r="I163" s="699"/>
      <c r="J163" s="699"/>
      <c r="K163" s="699"/>
      <c r="L163" s="699"/>
      <c r="M163" s="699"/>
      <c r="N163" s="699"/>
      <c r="O163" s="699"/>
      <c r="P163" s="699"/>
      <c r="Q163" s="699"/>
      <c r="R163" s="699"/>
      <c r="S163" s="699"/>
      <c r="T163" s="689"/>
      <c r="U163" s="689"/>
      <c r="V163" s="689"/>
      <c r="W163" s="689"/>
      <c r="X163" s="689"/>
      <c r="Y163" s="689"/>
      <c r="Z163" s="689"/>
      <c r="AA163" s="689"/>
      <c r="AB163" s="689"/>
      <c r="AC163" s="689"/>
    </row>
    <row r="164" spans="1:29" ht="18.75" x14ac:dyDescent="0.25">
      <c r="A164" s="926" t="s">
        <v>412</v>
      </c>
      <c r="B164" s="926"/>
      <c r="C164" s="926"/>
      <c r="D164" s="926"/>
      <c r="E164" s="926"/>
      <c r="F164" s="926"/>
      <c r="G164" s="926"/>
      <c r="H164" s="926"/>
      <c r="I164" s="926"/>
      <c r="J164" s="926"/>
      <c r="K164" s="926"/>
      <c r="L164" s="926"/>
      <c r="M164" s="926"/>
      <c r="N164" s="926"/>
      <c r="O164" s="926"/>
      <c r="P164" s="926"/>
      <c r="Q164" s="926"/>
      <c r="R164" s="926"/>
      <c r="S164" s="926"/>
      <c r="T164" s="690">
        <f>SUM(T160:T163)</f>
        <v>0</v>
      </c>
      <c r="U164" s="690"/>
      <c r="V164" s="690"/>
      <c r="W164" s="690"/>
      <c r="X164" s="690"/>
      <c r="Y164" s="690">
        <f>SUM(Y160:Y163)</f>
        <v>0</v>
      </c>
      <c r="Z164" s="690"/>
      <c r="AA164" s="690"/>
      <c r="AB164" s="690"/>
      <c r="AC164" s="690"/>
    </row>
  </sheetData>
  <sheetProtection algorithmName="SHA-512" hashValue="znSbZAwxmbthMKdzN3BgFtIIFNSEqNAjNfkR4taoTFCAOo+ratTf8zphq++9kSmCZqwrMYUJO/mrA1+Se05lkQ==" saltValue="176kFL02Gm4l08x9BPO7fg==" spinCount="100000" sheet="1" objects="1" scenarios="1"/>
  <mergeCells count="1309">
    <mergeCell ref="AJ17:AM17"/>
    <mergeCell ref="AN13:AQ13"/>
    <mergeCell ref="AN16:AQ16"/>
    <mergeCell ref="AN17:AQ17"/>
    <mergeCell ref="AF15:AI15"/>
    <mergeCell ref="AJ15:AM15"/>
    <mergeCell ref="AN15:AQ15"/>
    <mergeCell ref="AZ99:BC99"/>
    <mergeCell ref="AB83:AT83"/>
    <mergeCell ref="AU75:AY75"/>
    <mergeCell ref="BL19:BO19"/>
    <mergeCell ref="A102:K102"/>
    <mergeCell ref="T99:W99"/>
    <mergeCell ref="X99:AA99"/>
    <mergeCell ref="AB99:AE99"/>
    <mergeCell ref="AF99:AI99"/>
    <mergeCell ref="AJ99:AM99"/>
    <mergeCell ref="AN99:AQ99"/>
    <mergeCell ref="AR99:AU99"/>
    <mergeCell ref="AV99:AY99"/>
    <mergeCell ref="BP15:BS15"/>
    <mergeCell ref="BP16:BS16"/>
    <mergeCell ref="BP17:BS17"/>
    <mergeCell ref="BP18:BS18"/>
    <mergeCell ref="BP19:BS19"/>
    <mergeCell ref="BT13:BW13"/>
    <mergeCell ref="BT15:BW15"/>
    <mergeCell ref="BT16:BW16"/>
    <mergeCell ref="BT17:BW17"/>
    <mergeCell ref="BL13:BO13"/>
    <mergeCell ref="BL15:BO15"/>
    <mergeCell ref="BL16:BO16"/>
    <mergeCell ref="BL17:BO17"/>
    <mergeCell ref="AR13:AU13"/>
    <mergeCell ref="BP99:BS99"/>
    <mergeCell ref="A100:K100"/>
    <mergeCell ref="L100:O100"/>
    <mergeCell ref="P100:S100"/>
    <mergeCell ref="T100:W100"/>
    <mergeCell ref="X100:AA100"/>
    <mergeCell ref="AB100:AE100"/>
    <mergeCell ref="AF100:AI100"/>
    <mergeCell ref="AH7:AZ7"/>
    <mergeCell ref="AH8:AZ8"/>
    <mergeCell ref="BB70:BC70"/>
    <mergeCell ref="BD70:BE70"/>
    <mergeCell ref="BF70:BG70"/>
    <mergeCell ref="BH70:BI70"/>
    <mergeCell ref="BB65:BC65"/>
    <mergeCell ref="BD65:BE65"/>
    <mergeCell ref="BF65:BG65"/>
    <mergeCell ref="AZ16:BC16"/>
    <mergeCell ref="AZ17:BC17"/>
    <mergeCell ref="P15:S15"/>
    <mergeCell ref="T15:W15"/>
    <mergeCell ref="X15:AA15"/>
    <mergeCell ref="AB15:AE15"/>
    <mergeCell ref="AR16:AU16"/>
    <mergeCell ref="AR17:AU17"/>
    <mergeCell ref="AV13:AY13"/>
    <mergeCell ref="AV16:AY16"/>
    <mergeCell ref="AV17:AY17"/>
    <mergeCell ref="AZ13:BC13"/>
    <mergeCell ref="AR15:AU15"/>
    <mergeCell ref="AV15:AY15"/>
    <mergeCell ref="AZ15:BC15"/>
    <mergeCell ref="AB13:AE13"/>
    <mergeCell ref="AB16:AE16"/>
    <mergeCell ref="AB17:AE17"/>
    <mergeCell ref="AF13:AI13"/>
    <mergeCell ref="AF16:AI16"/>
    <mergeCell ref="AF17:AI17"/>
    <mergeCell ref="AJ13:AM13"/>
    <mergeCell ref="AJ16:AM16"/>
    <mergeCell ref="A1:AZ1"/>
    <mergeCell ref="A3:AZ3"/>
    <mergeCell ref="AP92:AU92"/>
    <mergeCell ref="AP90:AU90"/>
    <mergeCell ref="AP91:AU91"/>
    <mergeCell ref="AB72:AK72"/>
    <mergeCell ref="AL72:AM72"/>
    <mergeCell ref="AN72:AO72"/>
    <mergeCell ref="AP72:AQ72"/>
    <mergeCell ref="AR72:AS72"/>
    <mergeCell ref="AT72:AU72"/>
    <mergeCell ref="AV72:AW72"/>
    <mergeCell ref="AX72:AY72"/>
    <mergeCell ref="AB71:AK71"/>
    <mergeCell ref="AB70:AK70"/>
    <mergeCell ref="AL70:AM70"/>
    <mergeCell ref="AN70:AO70"/>
    <mergeCell ref="X16:AA16"/>
    <mergeCell ref="AV70:AW70"/>
    <mergeCell ref="AX70:AY70"/>
    <mergeCell ref="AZ70:BA70"/>
    <mergeCell ref="AB64:AK64"/>
    <mergeCell ref="AL64:AM64"/>
    <mergeCell ref="AN64:AO64"/>
    <mergeCell ref="AP64:AQ64"/>
    <mergeCell ref="AR64:AS64"/>
    <mergeCell ref="B71:F71"/>
    <mergeCell ref="A2:AZ2"/>
    <mergeCell ref="AB92:AO92"/>
    <mergeCell ref="AW89:BJ89"/>
    <mergeCell ref="AW90:BJ90"/>
    <mergeCell ref="AW91:BJ91"/>
    <mergeCell ref="AE121:AH121"/>
    <mergeCell ref="AB94:AO94"/>
    <mergeCell ref="AP94:AU94"/>
    <mergeCell ref="AB89:AO89"/>
    <mergeCell ref="AP89:AU89"/>
    <mergeCell ref="AB93:AO93"/>
    <mergeCell ref="AP93:AU93"/>
    <mergeCell ref="AB91:AO91"/>
    <mergeCell ref="BF53:BX53"/>
    <mergeCell ref="AJ100:AM100"/>
    <mergeCell ref="AN100:AQ100"/>
    <mergeCell ref="AR100:AU100"/>
    <mergeCell ref="AV100:AY100"/>
    <mergeCell ref="AZ100:BC100"/>
    <mergeCell ref="BD100:BG100"/>
    <mergeCell ref="BH100:BK100"/>
    <mergeCell ref="BL100:BO100"/>
    <mergeCell ref="BP100:BS100"/>
    <mergeCell ref="AB102:AE102"/>
    <mergeCell ref="AF102:AI102"/>
    <mergeCell ref="AJ102:AM102"/>
    <mergeCell ref="AN102:AQ102"/>
    <mergeCell ref="AR102:AU102"/>
    <mergeCell ref="AV102:AY102"/>
    <mergeCell ref="AZ102:BC102"/>
    <mergeCell ref="BD102:BG102"/>
    <mergeCell ref="AB90:AO90"/>
    <mergeCell ref="AB73:BM73"/>
    <mergeCell ref="BD99:BG99"/>
    <mergeCell ref="BH99:BK99"/>
    <mergeCell ref="BL99:BO99"/>
    <mergeCell ref="AB101:AE101"/>
    <mergeCell ref="T22:X22"/>
    <mergeCell ref="BU68:BV68"/>
    <mergeCell ref="G71:L71"/>
    <mergeCell ref="N71:R71"/>
    <mergeCell ref="AL27:BQ27"/>
    <mergeCell ref="AN68:AO68"/>
    <mergeCell ref="AP68:AQ68"/>
    <mergeCell ref="BS61:CH61"/>
    <mergeCell ref="AB46:BA46"/>
    <mergeCell ref="BY52:CC52"/>
    <mergeCell ref="CG64:CH64"/>
    <mergeCell ref="CG65:CH65"/>
    <mergeCell ref="CG66:CH66"/>
    <mergeCell ref="CG67:CH67"/>
    <mergeCell ref="CG68:CH68"/>
    <mergeCell ref="CG69:CH69"/>
    <mergeCell ref="BN62:BQ62"/>
    <mergeCell ref="CA63:CB63"/>
    <mergeCell ref="BP63:BQ63"/>
    <mergeCell ref="BS63:BT63"/>
    <mergeCell ref="BU63:BV63"/>
    <mergeCell ref="BW63:BX63"/>
    <mergeCell ref="T23:X23"/>
    <mergeCell ref="CG62:CH62"/>
    <mergeCell ref="BS64:BT64"/>
    <mergeCell ref="BU64:BV64"/>
    <mergeCell ref="S32:X32"/>
    <mergeCell ref="S69:X69"/>
    <mergeCell ref="A4:AV4"/>
    <mergeCell ref="BC75:BK75"/>
    <mergeCell ref="BL75:BP75"/>
    <mergeCell ref="BC76:BK76"/>
    <mergeCell ref="BL76:BP76"/>
    <mergeCell ref="BC77:BK77"/>
    <mergeCell ref="BL77:BP77"/>
    <mergeCell ref="BC78:BK78"/>
    <mergeCell ref="BL78:BP78"/>
    <mergeCell ref="BC79:BK79"/>
    <mergeCell ref="BL79:BP79"/>
    <mergeCell ref="BC80:BK80"/>
    <mergeCell ref="BL80:BP80"/>
    <mergeCell ref="AB44:AU44"/>
    <mergeCell ref="AV44:BA44"/>
    <mergeCell ref="BP67:BQ67"/>
    <mergeCell ref="BY71:BZ71"/>
    <mergeCell ref="T13:W13"/>
    <mergeCell ref="T16:W16"/>
    <mergeCell ref="T17:W17"/>
    <mergeCell ref="X13:AA13"/>
    <mergeCell ref="X17:AA17"/>
    <mergeCell ref="BD13:BG13"/>
    <mergeCell ref="BD15:BG15"/>
    <mergeCell ref="BD16:BG16"/>
    <mergeCell ref="BD17:BG17"/>
    <mergeCell ref="BH13:BK13"/>
    <mergeCell ref="BH15:BK15"/>
    <mergeCell ref="BH16:BK16"/>
    <mergeCell ref="BH17:BK17"/>
    <mergeCell ref="AH5:AZ5"/>
    <mergeCell ref="AH6:AZ6"/>
    <mergeCell ref="A22:S22"/>
    <mergeCell ref="A15:K15"/>
    <mergeCell ref="A16:K16"/>
    <mergeCell ref="A17:K17"/>
    <mergeCell ref="L13:O13"/>
    <mergeCell ref="L15:O15"/>
    <mergeCell ref="L16:O16"/>
    <mergeCell ref="L17:O17"/>
    <mergeCell ref="A13:K13"/>
    <mergeCell ref="P13:S13"/>
    <mergeCell ref="BH69:BI69"/>
    <mergeCell ref="BJ69:BK69"/>
    <mergeCell ref="BL69:BM69"/>
    <mergeCell ref="BN69:BO69"/>
    <mergeCell ref="CE69:CF69"/>
    <mergeCell ref="BB68:BC68"/>
    <mergeCell ref="BD68:BE68"/>
    <mergeCell ref="BF68:BG68"/>
    <mergeCell ref="BW68:BX68"/>
    <mergeCell ref="AZ68:BA68"/>
    <mergeCell ref="AL68:AM68"/>
    <mergeCell ref="BY68:BZ68"/>
    <mergeCell ref="CA68:CB68"/>
    <mergeCell ref="CC66:CD66"/>
    <mergeCell ref="CE66:CF66"/>
    <mergeCell ref="A21:AC21"/>
    <mergeCell ref="BS39:CD39"/>
    <mergeCell ref="BN39:BQ39"/>
    <mergeCell ref="BF62:BI62"/>
    <mergeCell ref="BJ62:BM62"/>
    <mergeCell ref="A24:S24"/>
    <mergeCell ref="BH68:BI68"/>
    <mergeCell ref="A164:S164"/>
    <mergeCell ref="T164:X164"/>
    <mergeCell ref="Y22:AC22"/>
    <mergeCell ref="Y23:AC23"/>
    <mergeCell ref="Y24:AC24"/>
    <mergeCell ref="BF49:BX49"/>
    <mergeCell ref="BY49:CC49"/>
    <mergeCell ref="BF51:BX51"/>
    <mergeCell ref="BY51:CC51"/>
    <mergeCell ref="A147:S147"/>
    <mergeCell ref="T147:X147"/>
    <mergeCell ref="AP88:AU88"/>
    <mergeCell ref="AB86:AT86"/>
    <mergeCell ref="AW86:BP86"/>
    <mergeCell ref="AU83:AY83"/>
    <mergeCell ref="AB75:AT75"/>
    <mergeCell ref="AB76:AT76"/>
    <mergeCell ref="AE122:AH122"/>
    <mergeCell ref="AL122:AT122"/>
    <mergeCell ref="AU122:AY122"/>
    <mergeCell ref="Z125:AH125"/>
    <mergeCell ref="BF52:BX52"/>
    <mergeCell ref="BY50:CC50"/>
    <mergeCell ref="AB77:AT77"/>
    <mergeCell ref="AB78:AT78"/>
    <mergeCell ref="AB79:AT79"/>
    <mergeCell ref="AB80:AT80"/>
    <mergeCell ref="AB81:AT81"/>
    <mergeCell ref="AB82:AT82"/>
    <mergeCell ref="AB43:BA43"/>
    <mergeCell ref="AV54:BA54"/>
    <mergeCell ref="AW92:BJ92"/>
    <mergeCell ref="A151:S151"/>
    <mergeCell ref="T151:X151"/>
    <mergeCell ref="A160:S160"/>
    <mergeCell ref="T160:X160"/>
    <mergeCell ref="A161:S161"/>
    <mergeCell ref="T161:X161"/>
    <mergeCell ref="A162:S162"/>
    <mergeCell ref="T162:X162"/>
    <mergeCell ref="A163:S163"/>
    <mergeCell ref="T163:X163"/>
    <mergeCell ref="BK92:BP92"/>
    <mergeCell ref="AB87:AO87"/>
    <mergeCell ref="AB88:AO88"/>
    <mergeCell ref="AI126:AM126"/>
    <mergeCell ref="Z127:AH127"/>
    <mergeCell ref="AI127:AM127"/>
    <mergeCell ref="AW87:BJ87"/>
    <mergeCell ref="AW88:BJ88"/>
    <mergeCell ref="BK87:BP87"/>
    <mergeCell ref="BK88:BP88"/>
    <mergeCell ref="Z121:AD121"/>
    <mergeCell ref="Z122:AD122"/>
    <mergeCell ref="AE113:AH113"/>
    <mergeCell ref="AE114:AH114"/>
    <mergeCell ref="AE115:AH115"/>
    <mergeCell ref="AE116:AH116"/>
    <mergeCell ref="AE117:AH117"/>
    <mergeCell ref="Z120:AD120"/>
    <mergeCell ref="AE118:AH118"/>
    <mergeCell ref="AE119:AH119"/>
    <mergeCell ref="Z113:AD113"/>
    <mergeCell ref="Z114:AD114"/>
    <mergeCell ref="AI125:AM125"/>
    <mergeCell ref="Z126:AH126"/>
    <mergeCell ref="BY53:CC53"/>
    <mergeCell ref="AU78:AY78"/>
    <mergeCell ref="AU79:AY79"/>
    <mergeCell ref="AU80:AY80"/>
    <mergeCell ref="AU81:AY81"/>
    <mergeCell ref="AU82:AY82"/>
    <mergeCell ref="AB84:AT84"/>
    <mergeCell ref="AU84:AY84"/>
    <mergeCell ref="AP87:AU87"/>
    <mergeCell ref="AX65:AY65"/>
    <mergeCell ref="AZ65:BA65"/>
    <mergeCell ref="AL65:AM65"/>
    <mergeCell ref="AB69:AK69"/>
    <mergeCell ref="AL69:AM69"/>
    <mergeCell ref="AN69:AO69"/>
    <mergeCell ref="AP69:AQ69"/>
    <mergeCell ref="AR69:AS69"/>
    <mergeCell ref="AT69:AU69"/>
    <mergeCell ref="AV69:AW69"/>
    <mergeCell ref="AX69:AY69"/>
    <mergeCell ref="BD71:BE71"/>
    <mergeCell ref="BF71:BG71"/>
    <mergeCell ref="BH71:BI71"/>
    <mergeCell ref="AL114:AT114"/>
    <mergeCell ref="AL115:AT115"/>
    <mergeCell ref="AU76:AY76"/>
    <mergeCell ref="AU77:AY77"/>
    <mergeCell ref="BJ68:BK68"/>
    <mergeCell ref="BL68:BM68"/>
    <mergeCell ref="AE120:AH120"/>
    <mergeCell ref="CG70:CH70"/>
    <mergeCell ref="AL71:AM71"/>
    <mergeCell ref="AN71:AO71"/>
    <mergeCell ref="AP71:AQ71"/>
    <mergeCell ref="AR71:AS71"/>
    <mergeCell ref="AT71:AU71"/>
    <mergeCell ref="AV71:AW71"/>
    <mergeCell ref="AX71:AY71"/>
    <mergeCell ref="AZ71:BA71"/>
    <mergeCell ref="BP70:BQ70"/>
    <mergeCell ref="CG71:CH71"/>
    <mergeCell ref="AJ101:AM101"/>
    <mergeCell ref="AN101:AQ101"/>
    <mergeCell ref="AR101:AU101"/>
    <mergeCell ref="AV101:AY101"/>
    <mergeCell ref="AZ101:BC101"/>
    <mergeCell ref="BD101:BG101"/>
    <mergeCell ref="BL71:BM71"/>
    <mergeCell ref="AP70:AQ70"/>
    <mergeCell ref="BJ71:BK71"/>
    <mergeCell ref="BW71:BX71"/>
    <mergeCell ref="BH101:BK101"/>
    <mergeCell ref="BL101:BO101"/>
    <mergeCell ref="BP101:BS101"/>
    <mergeCell ref="CE67:CF67"/>
    <mergeCell ref="AT66:AU66"/>
    <mergeCell ref="AV66:AW66"/>
    <mergeCell ref="AX66:AY66"/>
    <mergeCell ref="BN66:BO66"/>
    <mergeCell ref="BP66:BQ66"/>
    <mergeCell ref="BS66:BT66"/>
    <mergeCell ref="BU66:BV66"/>
    <mergeCell ref="BW66:BX66"/>
    <mergeCell ref="BY66:BZ66"/>
    <mergeCell ref="CA66:CB66"/>
    <mergeCell ref="CC65:CD65"/>
    <mergeCell ref="AL120:AT120"/>
    <mergeCell ref="AL121:AT121"/>
    <mergeCell ref="AU113:AY113"/>
    <mergeCell ref="AU114:AY114"/>
    <mergeCell ref="AU115:AY115"/>
    <mergeCell ref="AU116:AY116"/>
    <mergeCell ref="AU117:AY117"/>
    <mergeCell ref="AU118:AY118"/>
    <mergeCell ref="AU119:AY119"/>
    <mergeCell ref="AU120:AY120"/>
    <mergeCell ref="AU121:AY121"/>
    <mergeCell ref="BH102:BK102"/>
    <mergeCell ref="BL102:BO102"/>
    <mergeCell ref="BP102:BS102"/>
    <mergeCell ref="AB68:AK68"/>
    <mergeCell ref="BY54:CC54"/>
    <mergeCell ref="BY55:CC55"/>
    <mergeCell ref="AX68:AY68"/>
    <mergeCell ref="BP69:BQ69"/>
    <mergeCell ref="S122:X122"/>
    <mergeCell ref="BS72:BT72"/>
    <mergeCell ref="AT111:AX111"/>
    <mergeCell ref="Z128:AH128"/>
    <mergeCell ref="AR70:AS70"/>
    <mergeCell ref="AT70:AU70"/>
    <mergeCell ref="BS27:CH27"/>
    <mergeCell ref="AL63:AM63"/>
    <mergeCell ref="AN63:AO63"/>
    <mergeCell ref="AP63:AQ63"/>
    <mergeCell ref="AR63:AS63"/>
    <mergeCell ref="AT63:AU63"/>
    <mergeCell ref="AV63:AW63"/>
    <mergeCell ref="AX63:AY63"/>
    <mergeCell ref="AZ63:BA63"/>
    <mergeCell ref="BB63:BC63"/>
    <mergeCell ref="BD63:BE63"/>
    <mergeCell ref="BF63:BG63"/>
    <mergeCell ref="BH63:BI63"/>
    <mergeCell ref="BJ63:BK63"/>
    <mergeCell ref="BL63:BM63"/>
    <mergeCell ref="BN63:BO63"/>
    <mergeCell ref="BP71:BQ71"/>
    <mergeCell ref="BY70:BZ70"/>
    <mergeCell ref="CA70:CB70"/>
    <mergeCell ref="BW70:BX70"/>
    <mergeCell ref="BH65:BI65"/>
    <mergeCell ref="CE70:CF70"/>
    <mergeCell ref="BW65:BX65"/>
    <mergeCell ref="BY65:BZ65"/>
    <mergeCell ref="CA65:CB65"/>
    <mergeCell ref="CE65:CF65"/>
    <mergeCell ref="BW62:BZ62"/>
    <mergeCell ref="CG63:CH63"/>
    <mergeCell ref="G130:L130"/>
    <mergeCell ref="N130:R130"/>
    <mergeCell ref="G133:L133"/>
    <mergeCell ref="B131:F131"/>
    <mergeCell ref="G131:L131"/>
    <mergeCell ref="N131:R131"/>
    <mergeCell ref="B132:F132"/>
    <mergeCell ref="S129:X129"/>
    <mergeCell ref="CE73:CH73"/>
    <mergeCell ref="BL72:BM72"/>
    <mergeCell ref="BN72:BO72"/>
    <mergeCell ref="BP72:BQ72"/>
    <mergeCell ref="AZ72:BA72"/>
    <mergeCell ref="BU72:BV72"/>
    <mergeCell ref="BW72:BX72"/>
    <mergeCell ref="CE72:CF72"/>
    <mergeCell ref="BB72:BC72"/>
    <mergeCell ref="BD72:BE72"/>
    <mergeCell ref="BF72:BG72"/>
    <mergeCell ref="BH72:BI72"/>
    <mergeCell ref="BJ72:BK72"/>
    <mergeCell ref="CG72:CH72"/>
    <mergeCell ref="AI128:AM128"/>
    <mergeCell ref="Z129:AH129"/>
    <mergeCell ref="AI129:AM129"/>
    <mergeCell ref="Z130:AH130"/>
    <mergeCell ref="AI130:AM130"/>
    <mergeCell ref="BB69:BC69"/>
    <mergeCell ref="BN68:BO68"/>
    <mergeCell ref="BP68:BQ68"/>
    <mergeCell ref="BW67:BX67"/>
    <mergeCell ref="AL113:AT113"/>
    <mergeCell ref="AL116:AT116"/>
    <mergeCell ref="AL117:AT117"/>
    <mergeCell ref="AL118:AT118"/>
    <mergeCell ref="AL119:AT119"/>
    <mergeCell ref="G118:L118"/>
    <mergeCell ref="N118:R118"/>
    <mergeCell ref="N119:R119"/>
    <mergeCell ref="B120:F120"/>
    <mergeCell ref="G120:L120"/>
    <mergeCell ref="N120:R120"/>
    <mergeCell ref="S120:X120"/>
    <mergeCell ref="S115:X115"/>
    <mergeCell ref="B73:F73"/>
    <mergeCell ref="S79:X79"/>
    <mergeCell ref="S80:X80"/>
    <mergeCell ref="S81:X81"/>
    <mergeCell ref="S85:X85"/>
    <mergeCell ref="S91:X91"/>
    <mergeCell ref="N90:R90"/>
    <mergeCell ref="B90:F90"/>
    <mergeCell ref="G90:L90"/>
    <mergeCell ref="B81:F81"/>
    <mergeCell ref="B124:F124"/>
    <mergeCell ref="G124:L124"/>
    <mergeCell ref="N124:R124"/>
    <mergeCell ref="S137:X137"/>
    <mergeCell ref="S138:X138"/>
    <mergeCell ref="S139:X139"/>
    <mergeCell ref="S140:X140"/>
    <mergeCell ref="B137:F137"/>
    <mergeCell ref="G137:L137"/>
    <mergeCell ref="N137:R137"/>
    <mergeCell ref="B138:F138"/>
    <mergeCell ref="G138:L138"/>
    <mergeCell ref="N138:R138"/>
    <mergeCell ref="B139:F139"/>
    <mergeCell ref="G139:L139"/>
    <mergeCell ref="M139:R139"/>
    <mergeCell ref="S135:X135"/>
    <mergeCell ref="S126:X126"/>
    <mergeCell ref="S127:X127"/>
    <mergeCell ref="S131:X131"/>
    <mergeCell ref="S132:X132"/>
    <mergeCell ref="S133:X133"/>
    <mergeCell ref="S134:X134"/>
    <mergeCell ref="B129:F129"/>
    <mergeCell ref="G129:L129"/>
    <mergeCell ref="N129:R129"/>
    <mergeCell ref="B130:F130"/>
    <mergeCell ref="B128:F128"/>
    <mergeCell ref="G128:L128"/>
    <mergeCell ref="N128:R128"/>
    <mergeCell ref="S128:X128"/>
    <mergeCell ref="B133:F133"/>
    <mergeCell ref="G132:L132"/>
    <mergeCell ref="N132:R132"/>
    <mergeCell ref="N136:R136"/>
    <mergeCell ref="CA69:CB69"/>
    <mergeCell ref="CC69:CD69"/>
    <mergeCell ref="BS71:BT71"/>
    <mergeCell ref="BU71:BV71"/>
    <mergeCell ref="AP67:AQ67"/>
    <mergeCell ref="AR67:AS67"/>
    <mergeCell ref="AR66:AS66"/>
    <mergeCell ref="BS68:BT68"/>
    <mergeCell ref="CC71:CD71"/>
    <mergeCell ref="AZ67:BA67"/>
    <mergeCell ref="BB67:BC67"/>
    <mergeCell ref="BF67:BG67"/>
    <mergeCell ref="BH67:BI67"/>
    <mergeCell ref="CC72:CD72"/>
    <mergeCell ref="CA71:CB71"/>
    <mergeCell ref="CA62:CD62"/>
    <mergeCell ref="CC63:CD63"/>
    <mergeCell ref="AZ69:BA69"/>
    <mergeCell ref="BJ65:BK65"/>
    <mergeCell ref="BL65:BM65"/>
    <mergeCell ref="BN65:BO65"/>
    <mergeCell ref="BP65:BQ65"/>
    <mergeCell ref="BS65:BT65"/>
    <mergeCell ref="BU65:BV65"/>
    <mergeCell ref="BS67:BT67"/>
    <mergeCell ref="BU67:BV67"/>
    <mergeCell ref="CE63:CF63"/>
    <mergeCell ref="AT64:AU64"/>
    <mergeCell ref="AV64:AW64"/>
    <mergeCell ref="AX64:AY64"/>
    <mergeCell ref="AZ64:BA64"/>
    <mergeCell ref="BB64:BC64"/>
    <mergeCell ref="BD64:BE64"/>
    <mergeCell ref="BF64:BG64"/>
    <mergeCell ref="BH64:BI64"/>
    <mergeCell ref="BJ64:BK64"/>
    <mergeCell ref="BL64:BM64"/>
    <mergeCell ref="BN64:BO64"/>
    <mergeCell ref="BP64:BQ64"/>
    <mergeCell ref="BW64:BX64"/>
    <mergeCell ref="BY64:BZ64"/>
    <mergeCell ref="CA64:CB64"/>
    <mergeCell ref="CE64:CF64"/>
    <mergeCell ref="CE62:CF62"/>
    <mergeCell ref="BY63:BZ63"/>
    <mergeCell ref="CC64:CD64"/>
    <mergeCell ref="CE71:CF71"/>
    <mergeCell ref="BS70:BT70"/>
    <mergeCell ref="BU70:BV70"/>
    <mergeCell ref="CE68:CF68"/>
    <mergeCell ref="CC68:CD68"/>
    <mergeCell ref="CC70:CD70"/>
    <mergeCell ref="A5:I5"/>
    <mergeCell ref="J5:W5"/>
    <mergeCell ref="X5:AG5"/>
    <mergeCell ref="A9:AV9"/>
    <mergeCell ref="A6:I6"/>
    <mergeCell ref="J6:W6"/>
    <mergeCell ref="X6:AG6"/>
    <mergeCell ref="A7:I8"/>
    <mergeCell ref="J7:W8"/>
    <mergeCell ref="X7:AG7"/>
    <mergeCell ref="X8:AG8"/>
    <mergeCell ref="G29:L29"/>
    <mergeCell ref="AN66:AO66"/>
    <mergeCell ref="AP66:AQ66"/>
    <mergeCell ref="S30:X30"/>
    <mergeCell ref="S31:X31"/>
    <mergeCell ref="N45:R45"/>
    <mergeCell ref="N46:R46"/>
    <mergeCell ref="N47:R47"/>
    <mergeCell ref="N48:R48"/>
    <mergeCell ref="N49:R49"/>
    <mergeCell ref="N50:R50"/>
    <mergeCell ref="N44:R44"/>
    <mergeCell ref="B46:F46"/>
    <mergeCell ref="B47:F47"/>
    <mergeCell ref="P16:S16"/>
    <mergeCell ref="P17:S17"/>
    <mergeCell ref="T24:X24"/>
    <mergeCell ref="A23:S23"/>
    <mergeCell ref="BF55:BX55"/>
    <mergeCell ref="BF54:BX54"/>
    <mergeCell ref="B74:F74"/>
    <mergeCell ref="G74:L74"/>
    <mergeCell ref="N74:R74"/>
    <mergeCell ref="B69:F69"/>
    <mergeCell ref="G69:L69"/>
    <mergeCell ref="G51:L51"/>
    <mergeCell ref="G52:L52"/>
    <mergeCell ref="G53:L53"/>
    <mergeCell ref="B70:F70"/>
    <mergeCell ref="G70:L70"/>
    <mergeCell ref="N70:R70"/>
    <mergeCell ref="B56:F56"/>
    <mergeCell ref="B64:F64"/>
    <mergeCell ref="G64:L64"/>
    <mergeCell ref="B72:F72"/>
    <mergeCell ref="B67:F67"/>
    <mergeCell ref="B66:F66"/>
    <mergeCell ref="G66:L66"/>
    <mergeCell ref="B68:F68"/>
    <mergeCell ref="A58:F58"/>
    <mergeCell ref="G58:L58"/>
    <mergeCell ref="M58:R58"/>
    <mergeCell ref="N65:R65"/>
    <mergeCell ref="B65:F65"/>
    <mergeCell ref="BN73:BQ73"/>
    <mergeCell ref="BS73:CD73"/>
    <mergeCell ref="AB67:AK67"/>
    <mergeCell ref="AL67:AM67"/>
    <mergeCell ref="AN67:AO67"/>
    <mergeCell ref="BB62:BE62"/>
    <mergeCell ref="N51:R51"/>
    <mergeCell ref="AR68:AS68"/>
    <mergeCell ref="AT68:AU68"/>
    <mergeCell ref="AV68:AW68"/>
    <mergeCell ref="N64:R64"/>
    <mergeCell ref="N54:R54"/>
    <mergeCell ref="N55:R55"/>
    <mergeCell ref="B54:F54"/>
    <mergeCell ref="B55:F55"/>
    <mergeCell ref="BN70:BO70"/>
    <mergeCell ref="S65:X65"/>
    <mergeCell ref="S63:X63"/>
    <mergeCell ref="S64:X64"/>
    <mergeCell ref="G65:L65"/>
    <mergeCell ref="BS62:BV62"/>
    <mergeCell ref="BY72:BZ72"/>
    <mergeCell ref="CA72:CB72"/>
    <mergeCell ref="BN71:BO71"/>
    <mergeCell ref="BB71:BC71"/>
    <mergeCell ref="BY67:BZ67"/>
    <mergeCell ref="CA67:CB67"/>
    <mergeCell ref="CC67:CD67"/>
    <mergeCell ref="BS69:BT69"/>
    <mergeCell ref="BU69:BV69"/>
    <mergeCell ref="BW69:BX69"/>
    <mergeCell ref="BY69:BZ69"/>
    <mergeCell ref="G55:L55"/>
    <mergeCell ref="G56:L56"/>
    <mergeCell ref="M57:R57"/>
    <mergeCell ref="B57:F57"/>
    <mergeCell ref="B50:F50"/>
    <mergeCell ref="S49:X49"/>
    <mergeCell ref="BD67:BE67"/>
    <mergeCell ref="BL37:BM37"/>
    <mergeCell ref="BJ70:BK70"/>
    <mergeCell ref="BL70:BM70"/>
    <mergeCell ref="S46:X46"/>
    <mergeCell ref="S47:X47"/>
    <mergeCell ref="AB39:BM39"/>
    <mergeCell ref="AR65:AS65"/>
    <mergeCell ref="AT65:AU65"/>
    <mergeCell ref="AV65:AW65"/>
    <mergeCell ref="AZ66:BA66"/>
    <mergeCell ref="BB66:BC66"/>
    <mergeCell ref="BD66:BE66"/>
    <mergeCell ref="BF66:BG66"/>
    <mergeCell ref="BH66:BI66"/>
    <mergeCell ref="BJ66:BK66"/>
    <mergeCell ref="BF50:BX50"/>
    <mergeCell ref="BP37:BQ37"/>
    <mergeCell ref="AB62:AK63"/>
    <mergeCell ref="AL62:AO62"/>
    <mergeCell ref="AP62:AS62"/>
    <mergeCell ref="B53:F53"/>
    <mergeCell ref="BD69:BE69"/>
    <mergeCell ref="BF69:BG69"/>
    <mergeCell ref="B41:F41"/>
    <mergeCell ref="B42:F42"/>
    <mergeCell ref="BF38:BG38"/>
    <mergeCell ref="AB52:AU52"/>
    <mergeCell ref="BN37:BO37"/>
    <mergeCell ref="AT67:AU67"/>
    <mergeCell ref="AV67:AW67"/>
    <mergeCell ref="AX67:AY67"/>
    <mergeCell ref="BB38:BC38"/>
    <mergeCell ref="BD38:BE38"/>
    <mergeCell ref="BB37:BC37"/>
    <mergeCell ref="BD37:BE37"/>
    <mergeCell ref="AB37:AK37"/>
    <mergeCell ref="AL37:AM37"/>
    <mergeCell ref="AN37:AO37"/>
    <mergeCell ref="AZ37:BA37"/>
    <mergeCell ref="CE38:CF38"/>
    <mergeCell ref="BU37:BV37"/>
    <mergeCell ref="BW37:BX37"/>
    <mergeCell ref="BY37:BZ37"/>
    <mergeCell ref="CA37:CB37"/>
    <mergeCell ref="CC37:CD37"/>
    <mergeCell ref="CE37:CF37"/>
    <mergeCell ref="BS37:BT37"/>
    <mergeCell ref="BH38:BI38"/>
    <mergeCell ref="BJ38:BK38"/>
    <mergeCell ref="BL38:BM38"/>
    <mergeCell ref="BN38:BO38"/>
    <mergeCell ref="BP38:BQ38"/>
    <mergeCell ref="BH37:BI37"/>
    <mergeCell ref="BJ37:BK37"/>
    <mergeCell ref="BS38:BT38"/>
    <mergeCell ref="BU38:BV38"/>
    <mergeCell ref="BW38:BX38"/>
    <mergeCell ref="BY38:BZ38"/>
    <mergeCell ref="CA38:CB38"/>
    <mergeCell ref="AV55:BA55"/>
    <mergeCell ref="AN65:AO65"/>
    <mergeCell ref="AP65:AQ65"/>
    <mergeCell ref="BJ67:BK67"/>
    <mergeCell ref="G89:L89"/>
    <mergeCell ref="N89:R89"/>
    <mergeCell ref="G72:L72"/>
    <mergeCell ref="N72:R72"/>
    <mergeCell ref="G67:L67"/>
    <mergeCell ref="N67:R67"/>
    <mergeCell ref="G68:L68"/>
    <mergeCell ref="N68:R68"/>
    <mergeCell ref="S73:X73"/>
    <mergeCell ref="S74:X74"/>
    <mergeCell ref="S72:X72"/>
    <mergeCell ref="N82:R82"/>
    <mergeCell ref="N66:R66"/>
    <mergeCell ref="S70:X70"/>
    <mergeCell ref="S71:X71"/>
    <mergeCell ref="S77:X77"/>
    <mergeCell ref="S78:X78"/>
    <mergeCell ref="AP38:AQ38"/>
    <mergeCell ref="AR38:AS38"/>
    <mergeCell ref="AT38:AU38"/>
    <mergeCell ref="AV38:AW38"/>
    <mergeCell ref="AX38:AY38"/>
    <mergeCell ref="AZ38:BA38"/>
    <mergeCell ref="G81:L81"/>
    <mergeCell ref="N81:R81"/>
    <mergeCell ref="S82:X82"/>
    <mergeCell ref="BS33:BT33"/>
    <mergeCell ref="BU33:BV33"/>
    <mergeCell ref="BW33:BX33"/>
    <mergeCell ref="BN34:BO34"/>
    <mergeCell ref="BP34:BQ34"/>
    <mergeCell ref="BP33:BQ33"/>
    <mergeCell ref="BJ35:BK35"/>
    <mergeCell ref="BL35:BM35"/>
    <mergeCell ref="BN35:BO35"/>
    <mergeCell ref="BF34:BG34"/>
    <mergeCell ref="BH34:BI34"/>
    <mergeCell ref="AB28:AK29"/>
    <mergeCell ref="BY30:BZ30"/>
    <mergeCell ref="CC38:CD38"/>
    <mergeCell ref="BL67:BM67"/>
    <mergeCell ref="BN67:BO67"/>
    <mergeCell ref="G43:L43"/>
    <mergeCell ref="G44:L44"/>
    <mergeCell ref="G45:L45"/>
    <mergeCell ref="N43:R43"/>
    <mergeCell ref="G38:L38"/>
    <mergeCell ref="G39:L39"/>
    <mergeCell ref="G40:L40"/>
    <mergeCell ref="G41:L41"/>
    <mergeCell ref="G42:L42"/>
    <mergeCell ref="N42:R42"/>
    <mergeCell ref="G47:L47"/>
    <mergeCell ref="G46:L46"/>
    <mergeCell ref="BL66:BM66"/>
    <mergeCell ref="AX28:BA28"/>
    <mergeCell ref="BB28:BE28"/>
    <mergeCell ref="BJ28:BM28"/>
    <mergeCell ref="CE28:CF28"/>
    <mergeCell ref="AL29:AM29"/>
    <mergeCell ref="AN29:AO29"/>
    <mergeCell ref="AP29:AQ29"/>
    <mergeCell ref="AR29:AS29"/>
    <mergeCell ref="AT29:AU29"/>
    <mergeCell ref="AV29:AW29"/>
    <mergeCell ref="AX29:AY29"/>
    <mergeCell ref="AZ29:BA29"/>
    <mergeCell ref="BB29:BC29"/>
    <mergeCell ref="BD29:BE29"/>
    <mergeCell ref="BF29:BG29"/>
    <mergeCell ref="BH29:BI29"/>
    <mergeCell ref="BJ29:BK29"/>
    <mergeCell ref="BL29:BM29"/>
    <mergeCell ref="BN29:BO29"/>
    <mergeCell ref="BP29:BQ29"/>
    <mergeCell ref="BS29:BT29"/>
    <mergeCell ref="BU29:BV29"/>
    <mergeCell ref="BW29:BX29"/>
    <mergeCell ref="BY29:BZ29"/>
    <mergeCell ref="CA29:CB29"/>
    <mergeCell ref="CC29:CD29"/>
    <mergeCell ref="CE29:CF29"/>
    <mergeCell ref="AL28:AO28"/>
    <mergeCell ref="AP28:AS28"/>
    <mergeCell ref="AT28:AW28"/>
    <mergeCell ref="BS28:BV28"/>
    <mergeCell ref="BW28:BZ28"/>
    <mergeCell ref="CA28:CD28"/>
    <mergeCell ref="BN28:BQ28"/>
    <mergeCell ref="CA30:CB30"/>
    <mergeCell ref="CC30:CD30"/>
    <mergeCell ref="CE30:CF30"/>
    <mergeCell ref="AB31:AK31"/>
    <mergeCell ref="AL31:AM31"/>
    <mergeCell ref="AN31:AO31"/>
    <mergeCell ref="AP31:AQ31"/>
    <mergeCell ref="AR31:AS31"/>
    <mergeCell ref="AT31:AU31"/>
    <mergeCell ref="AV31:AW31"/>
    <mergeCell ref="AX31:AY31"/>
    <mergeCell ref="AZ31:BA31"/>
    <mergeCell ref="BB31:BC31"/>
    <mergeCell ref="BD31:BE31"/>
    <mergeCell ref="BF31:BG31"/>
    <mergeCell ref="BH31:BI31"/>
    <mergeCell ref="BJ31:BK31"/>
    <mergeCell ref="BL31:BM31"/>
    <mergeCell ref="BN31:BO31"/>
    <mergeCell ref="AR30:AS30"/>
    <mergeCell ref="AT30:AU30"/>
    <mergeCell ref="AV30:AW30"/>
    <mergeCell ref="AX30:AY30"/>
    <mergeCell ref="AZ30:BA30"/>
    <mergeCell ref="BB30:BC30"/>
    <mergeCell ref="BY31:BZ31"/>
    <mergeCell ref="CA31:CB31"/>
    <mergeCell ref="AB30:AK30"/>
    <mergeCell ref="AL30:AM30"/>
    <mergeCell ref="AN30:AO30"/>
    <mergeCell ref="AP30:AQ30"/>
    <mergeCell ref="BH32:BI32"/>
    <mergeCell ref="BJ32:BK32"/>
    <mergeCell ref="BL32:BM32"/>
    <mergeCell ref="BN32:BO32"/>
    <mergeCell ref="BP32:BQ32"/>
    <mergeCell ref="BN30:BO30"/>
    <mergeCell ref="BP30:BQ30"/>
    <mergeCell ref="BS30:BT30"/>
    <mergeCell ref="BU30:BV30"/>
    <mergeCell ref="BW30:BX30"/>
    <mergeCell ref="BD30:BE30"/>
    <mergeCell ref="BF30:BG30"/>
    <mergeCell ref="BH30:BI30"/>
    <mergeCell ref="BJ30:BK30"/>
    <mergeCell ref="BL30:BM30"/>
    <mergeCell ref="BP31:BQ31"/>
    <mergeCell ref="BS31:BT31"/>
    <mergeCell ref="BU31:BV31"/>
    <mergeCell ref="BW31:BX31"/>
    <mergeCell ref="CC33:CD33"/>
    <mergeCell ref="BJ34:BK34"/>
    <mergeCell ref="BL34:BM34"/>
    <mergeCell ref="BY36:BZ36"/>
    <mergeCell ref="CA36:CB36"/>
    <mergeCell ref="CC36:CD36"/>
    <mergeCell ref="CE36:CF36"/>
    <mergeCell ref="BB35:BC35"/>
    <mergeCell ref="BD35:BE35"/>
    <mergeCell ref="BP35:BQ35"/>
    <mergeCell ref="BS35:BT35"/>
    <mergeCell ref="BU35:BV35"/>
    <mergeCell ref="BW35:BX35"/>
    <mergeCell ref="AV35:AW35"/>
    <mergeCell ref="BF35:BG35"/>
    <mergeCell ref="BH35:BI35"/>
    <mergeCell ref="CC31:CD31"/>
    <mergeCell ref="CE31:CF31"/>
    <mergeCell ref="BS32:BT32"/>
    <mergeCell ref="BY32:BZ32"/>
    <mergeCell ref="CA32:CB32"/>
    <mergeCell ref="CC32:CD32"/>
    <mergeCell ref="CE32:CF32"/>
    <mergeCell ref="BU32:BV32"/>
    <mergeCell ref="BW32:BX32"/>
    <mergeCell ref="CE33:CF33"/>
    <mergeCell ref="BY33:BZ33"/>
    <mergeCell ref="CA33:CB33"/>
    <mergeCell ref="BH33:BI33"/>
    <mergeCell ref="BJ33:BK33"/>
    <mergeCell ref="BL33:BM33"/>
    <mergeCell ref="BN33:BO33"/>
    <mergeCell ref="BW36:BX36"/>
    <mergeCell ref="AB35:AK35"/>
    <mergeCell ref="AL35:AM35"/>
    <mergeCell ref="AN35:AO35"/>
    <mergeCell ref="AB36:AK36"/>
    <mergeCell ref="AL36:AM36"/>
    <mergeCell ref="BS34:BT34"/>
    <mergeCell ref="BU34:BV34"/>
    <mergeCell ref="BW34:BX34"/>
    <mergeCell ref="AP35:AQ35"/>
    <mergeCell ref="BH36:BI36"/>
    <mergeCell ref="BJ36:BK36"/>
    <mergeCell ref="BL36:BM36"/>
    <mergeCell ref="BN36:BO36"/>
    <mergeCell ref="BP36:BQ36"/>
    <mergeCell ref="BS36:BT36"/>
    <mergeCell ref="BU36:BV36"/>
    <mergeCell ref="AN36:AO36"/>
    <mergeCell ref="AP36:AQ36"/>
    <mergeCell ref="AR36:AS36"/>
    <mergeCell ref="AV36:AW36"/>
    <mergeCell ref="AX36:AY36"/>
    <mergeCell ref="AZ36:BA36"/>
    <mergeCell ref="BB36:BC36"/>
    <mergeCell ref="BD36:BE36"/>
    <mergeCell ref="AX35:AY35"/>
    <mergeCell ref="AR34:AS34"/>
    <mergeCell ref="AT34:AU34"/>
    <mergeCell ref="AV34:AW34"/>
    <mergeCell ref="AX34:AY34"/>
    <mergeCell ref="AZ34:BA34"/>
    <mergeCell ref="B37:F37"/>
    <mergeCell ref="BF37:BG37"/>
    <mergeCell ref="AP37:AQ37"/>
    <mergeCell ref="AR37:AS37"/>
    <mergeCell ref="AT37:AU37"/>
    <mergeCell ref="AV37:AW37"/>
    <mergeCell ref="AX37:AY37"/>
    <mergeCell ref="AB32:AK32"/>
    <mergeCell ref="AL32:AM32"/>
    <mergeCell ref="AN32:AO32"/>
    <mergeCell ref="AP32:AQ32"/>
    <mergeCell ref="AR32:AS32"/>
    <mergeCell ref="AT32:AU32"/>
    <mergeCell ref="AV32:AW32"/>
    <mergeCell ref="AX32:AY32"/>
    <mergeCell ref="AZ32:BA32"/>
    <mergeCell ref="AX33:AY33"/>
    <mergeCell ref="AZ33:BA33"/>
    <mergeCell ref="BB33:BC33"/>
    <mergeCell ref="BD33:BE33"/>
    <mergeCell ref="BD34:BE34"/>
    <mergeCell ref="BB32:BC32"/>
    <mergeCell ref="BD32:BE32"/>
    <mergeCell ref="BF32:BG32"/>
    <mergeCell ref="AL33:AM33"/>
    <mergeCell ref="AN33:AO33"/>
    <mergeCell ref="BF36:BG36"/>
    <mergeCell ref="AT36:AU36"/>
    <mergeCell ref="S66:X66"/>
    <mergeCell ref="S68:X68"/>
    <mergeCell ref="S76:X76"/>
    <mergeCell ref="S67:X67"/>
    <mergeCell ref="G79:L79"/>
    <mergeCell ref="N79:R79"/>
    <mergeCell ref="S75:X75"/>
    <mergeCell ref="G73:L73"/>
    <mergeCell ref="N73:R73"/>
    <mergeCell ref="AZ35:BA35"/>
    <mergeCell ref="AB34:AK34"/>
    <mergeCell ref="AL34:AM34"/>
    <mergeCell ref="AN34:AO34"/>
    <mergeCell ref="AP34:AQ34"/>
    <mergeCell ref="BB34:BC34"/>
    <mergeCell ref="AB66:AK66"/>
    <mergeCell ref="AL66:AM66"/>
    <mergeCell ref="AB61:AK61"/>
    <mergeCell ref="AL61:BQ61"/>
    <mergeCell ref="S40:X40"/>
    <mergeCell ref="S41:X41"/>
    <mergeCell ref="AT62:AW62"/>
    <mergeCell ref="AX62:BA62"/>
    <mergeCell ref="S50:X50"/>
    <mergeCell ref="S51:X51"/>
    <mergeCell ref="S52:X52"/>
    <mergeCell ref="S53:X53"/>
    <mergeCell ref="S54:X54"/>
    <mergeCell ref="B29:F29"/>
    <mergeCell ref="N29:R29"/>
    <mergeCell ref="S29:X29"/>
    <mergeCell ref="A27:X28"/>
    <mergeCell ref="A61:X62"/>
    <mergeCell ref="B63:F63"/>
    <mergeCell ref="G63:L63"/>
    <mergeCell ref="N63:R63"/>
    <mergeCell ref="S36:X36"/>
    <mergeCell ref="S37:X37"/>
    <mergeCell ref="S38:X38"/>
    <mergeCell ref="S39:X39"/>
    <mergeCell ref="S45:X45"/>
    <mergeCell ref="S33:X33"/>
    <mergeCell ref="S34:X34"/>
    <mergeCell ref="G57:L57"/>
    <mergeCell ref="G34:L34"/>
    <mergeCell ref="G35:L35"/>
    <mergeCell ref="G36:L36"/>
    <mergeCell ref="S44:X44"/>
    <mergeCell ref="S35:X35"/>
    <mergeCell ref="S58:X58"/>
    <mergeCell ref="G31:L31"/>
    <mergeCell ref="S48:X48"/>
    <mergeCell ref="S42:X42"/>
    <mergeCell ref="S43:X43"/>
    <mergeCell ref="B30:F30"/>
    <mergeCell ref="B31:F31"/>
    <mergeCell ref="B32:F32"/>
    <mergeCell ref="B33:F33"/>
    <mergeCell ref="B34:F34"/>
    <mergeCell ref="B35:F35"/>
    <mergeCell ref="B126:F126"/>
    <mergeCell ref="G126:L126"/>
    <mergeCell ref="N126:R126"/>
    <mergeCell ref="B127:F127"/>
    <mergeCell ref="G127:L127"/>
    <mergeCell ref="N127:R127"/>
    <mergeCell ref="M91:R91"/>
    <mergeCell ref="B82:F82"/>
    <mergeCell ref="G82:L82"/>
    <mergeCell ref="B83:F83"/>
    <mergeCell ref="G83:L83"/>
    <mergeCell ref="N83:R83"/>
    <mergeCell ref="B84:F84"/>
    <mergeCell ref="G84:L84"/>
    <mergeCell ref="N84:R84"/>
    <mergeCell ref="B85:F85"/>
    <mergeCell ref="G85:L85"/>
    <mergeCell ref="N85:R85"/>
    <mergeCell ref="B86:F86"/>
    <mergeCell ref="G86:L86"/>
    <mergeCell ref="N86:R86"/>
    <mergeCell ref="A92:F92"/>
    <mergeCell ref="G92:L92"/>
    <mergeCell ref="A99:K99"/>
    <mergeCell ref="L99:O99"/>
    <mergeCell ref="P99:S99"/>
    <mergeCell ref="L102:O102"/>
    <mergeCell ref="P102:S102"/>
    <mergeCell ref="S125:X125"/>
    <mergeCell ref="B116:F116"/>
    <mergeCell ref="G116:L116"/>
    <mergeCell ref="N116:R116"/>
    <mergeCell ref="S114:X114"/>
    <mergeCell ref="B119:F119"/>
    <mergeCell ref="G119:L119"/>
    <mergeCell ref="A101:K101"/>
    <mergeCell ref="L101:O101"/>
    <mergeCell ref="P101:S101"/>
    <mergeCell ref="T101:W101"/>
    <mergeCell ref="X101:AA101"/>
    <mergeCell ref="B117:F117"/>
    <mergeCell ref="G117:L117"/>
    <mergeCell ref="N117:R117"/>
    <mergeCell ref="B118:F118"/>
    <mergeCell ref="B125:F125"/>
    <mergeCell ref="G125:L125"/>
    <mergeCell ref="N125:R125"/>
    <mergeCell ref="Z115:AD115"/>
    <mergeCell ref="Z116:AD116"/>
    <mergeCell ref="Z117:AD117"/>
    <mergeCell ref="Z118:AD118"/>
    <mergeCell ref="Z119:AD119"/>
    <mergeCell ref="B114:F114"/>
    <mergeCell ref="G114:L114"/>
    <mergeCell ref="N114:R114"/>
    <mergeCell ref="A109:X110"/>
    <mergeCell ref="B87:F87"/>
    <mergeCell ref="G87:L87"/>
    <mergeCell ref="N87:R87"/>
    <mergeCell ref="B88:F88"/>
    <mergeCell ref="G88:L88"/>
    <mergeCell ref="N88:R88"/>
    <mergeCell ref="B89:F89"/>
    <mergeCell ref="A96:AY96"/>
    <mergeCell ref="T102:W102"/>
    <mergeCell ref="X102:AA102"/>
    <mergeCell ref="B115:F115"/>
    <mergeCell ref="G115:L115"/>
    <mergeCell ref="N115:R115"/>
    <mergeCell ref="AF101:AI101"/>
    <mergeCell ref="B44:F44"/>
    <mergeCell ref="B45:F45"/>
    <mergeCell ref="B39:F39"/>
    <mergeCell ref="B40:F40"/>
    <mergeCell ref="B38:F38"/>
    <mergeCell ref="B75:F75"/>
    <mergeCell ref="B91:F91"/>
    <mergeCell ref="G91:L91"/>
    <mergeCell ref="B111:F111"/>
    <mergeCell ref="G111:L111"/>
    <mergeCell ref="N111:R111"/>
    <mergeCell ref="B112:F112"/>
    <mergeCell ref="G112:L112"/>
    <mergeCell ref="N112:R112"/>
    <mergeCell ref="B113:F113"/>
    <mergeCell ref="G113:L113"/>
    <mergeCell ref="N113:R113"/>
    <mergeCell ref="B78:F78"/>
    <mergeCell ref="G78:L78"/>
    <mergeCell ref="N78:R78"/>
    <mergeCell ref="B79:F79"/>
    <mergeCell ref="B80:F80"/>
    <mergeCell ref="G80:L80"/>
    <mergeCell ref="N80:R80"/>
    <mergeCell ref="B48:F48"/>
    <mergeCell ref="B49:F49"/>
    <mergeCell ref="N52:R52"/>
    <mergeCell ref="N53:R53"/>
    <mergeCell ref="B51:F51"/>
    <mergeCell ref="B52:F52"/>
    <mergeCell ref="N56:R56"/>
    <mergeCell ref="G54:L54"/>
    <mergeCell ref="G30:L30"/>
    <mergeCell ref="AV47:BA47"/>
    <mergeCell ref="AB47:AU47"/>
    <mergeCell ref="AB38:AK38"/>
    <mergeCell ref="AL38:AM38"/>
    <mergeCell ref="AN38:AO38"/>
    <mergeCell ref="B121:F121"/>
    <mergeCell ref="G121:L121"/>
    <mergeCell ref="N121:R121"/>
    <mergeCell ref="B122:F122"/>
    <mergeCell ref="G122:L122"/>
    <mergeCell ref="N122:R122"/>
    <mergeCell ref="B123:F123"/>
    <mergeCell ref="G123:L123"/>
    <mergeCell ref="N123:R123"/>
    <mergeCell ref="B76:F76"/>
    <mergeCell ref="G76:L76"/>
    <mergeCell ref="N76:R76"/>
    <mergeCell ref="B77:F77"/>
    <mergeCell ref="G77:L77"/>
    <mergeCell ref="N77:R77"/>
    <mergeCell ref="G32:L32"/>
    <mergeCell ref="G33:L33"/>
    <mergeCell ref="G50:L50"/>
    <mergeCell ref="G48:L48"/>
    <mergeCell ref="G49:L49"/>
    <mergeCell ref="G37:L37"/>
    <mergeCell ref="B36:F36"/>
    <mergeCell ref="G75:L75"/>
    <mergeCell ref="N75:R75"/>
    <mergeCell ref="N69:R69"/>
    <mergeCell ref="B43:F43"/>
    <mergeCell ref="S136:X136"/>
    <mergeCell ref="S130:X130"/>
    <mergeCell ref="S123:X123"/>
    <mergeCell ref="S124:X124"/>
    <mergeCell ref="S116:X116"/>
    <mergeCell ref="S117:X117"/>
    <mergeCell ref="S118:X118"/>
    <mergeCell ref="S119:X119"/>
    <mergeCell ref="S121:X121"/>
    <mergeCell ref="S83:X83"/>
    <mergeCell ref="S84:X84"/>
    <mergeCell ref="CG28:CH28"/>
    <mergeCell ref="CG29:CH29"/>
    <mergeCell ref="CG30:CH30"/>
    <mergeCell ref="CG31:CH31"/>
    <mergeCell ref="CG32:CH32"/>
    <mergeCell ref="CG33:CH33"/>
    <mergeCell ref="CG34:CH34"/>
    <mergeCell ref="CG35:CH35"/>
    <mergeCell ref="CG36:CH36"/>
    <mergeCell ref="CG37:CH37"/>
    <mergeCell ref="CG38:CH38"/>
    <mergeCell ref="BF28:BI28"/>
    <mergeCell ref="AV57:BA57"/>
    <mergeCell ref="AP33:AQ33"/>
    <mergeCell ref="AR33:AS33"/>
    <mergeCell ref="AT33:AU33"/>
    <mergeCell ref="AV33:AW33"/>
    <mergeCell ref="AR35:AS35"/>
    <mergeCell ref="AT35:AU35"/>
    <mergeCell ref="BF33:BG33"/>
    <mergeCell ref="AB33:AK33"/>
    <mergeCell ref="S111:X111"/>
    <mergeCell ref="S112:X112"/>
    <mergeCell ref="S113:X113"/>
    <mergeCell ref="N30:R30"/>
    <mergeCell ref="N31:R31"/>
    <mergeCell ref="N32:R32"/>
    <mergeCell ref="N33:R33"/>
    <mergeCell ref="N34:R34"/>
    <mergeCell ref="N35:R35"/>
    <mergeCell ref="N36:R36"/>
    <mergeCell ref="N37:R37"/>
    <mergeCell ref="N38:R38"/>
    <mergeCell ref="N39:R39"/>
    <mergeCell ref="N40:R40"/>
    <mergeCell ref="N41:R41"/>
    <mergeCell ref="M92:R92"/>
    <mergeCell ref="S92:X92"/>
    <mergeCell ref="S86:X86"/>
    <mergeCell ref="S87:X87"/>
    <mergeCell ref="S88:X88"/>
    <mergeCell ref="S89:X89"/>
    <mergeCell ref="S90:X90"/>
    <mergeCell ref="S55:X55"/>
    <mergeCell ref="S56:X56"/>
    <mergeCell ref="S57:X57"/>
    <mergeCell ref="A150:S150"/>
    <mergeCell ref="T150:X150"/>
    <mergeCell ref="BY34:BZ34"/>
    <mergeCell ref="CA34:CB34"/>
    <mergeCell ref="CC34:CD34"/>
    <mergeCell ref="CE34:CF34"/>
    <mergeCell ref="BY35:BZ35"/>
    <mergeCell ref="CA35:CB35"/>
    <mergeCell ref="CC35:CD35"/>
    <mergeCell ref="CE35:CF35"/>
    <mergeCell ref="CE39:CH39"/>
    <mergeCell ref="Z111:AS111"/>
    <mergeCell ref="AB48:AU48"/>
    <mergeCell ref="AB49:AU49"/>
    <mergeCell ref="AB55:AU55"/>
    <mergeCell ref="AB56:AU56"/>
    <mergeCell ref="AB57:AU57"/>
    <mergeCell ref="AV48:BA48"/>
    <mergeCell ref="AV49:BA49"/>
    <mergeCell ref="AB50:AU50"/>
    <mergeCell ref="AV50:BA50"/>
    <mergeCell ref="AB54:AU54"/>
    <mergeCell ref="AB51:AU51"/>
    <mergeCell ref="AV51:BA51"/>
    <mergeCell ref="BK89:BP89"/>
    <mergeCell ref="BK90:BP90"/>
    <mergeCell ref="BK91:BP91"/>
    <mergeCell ref="AB65:AK65"/>
    <mergeCell ref="AV52:BA52"/>
    <mergeCell ref="AV56:BA56"/>
    <mergeCell ref="G140:L140"/>
    <mergeCell ref="M140:R140"/>
    <mergeCell ref="A143:AY143"/>
    <mergeCell ref="A155:AY155"/>
    <mergeCell ref="Y159:AC159"/>
    <mergeCell ref="Y160:AC160"/>
    <mergeCell ref="Y161:AC161"/>
    <mergeCell ref="Y162:AC162"/>
    <mergeCell ref="Y163:AC163"/>
    <mergeCell ref="Y164:AC164"/>
    <mergeCell ref="Y146:AC146"/>
    <mergeCell ref="Y147:AC147"/>
    <mergeCell ref="Y148:AC148"/>
    <mergeCell ref="Y149:AC149"/>
    <mergeCell ref="Y150:AC150"/>
    <mergeCell ref="Y151:AC151"/>
    <mergeCell ref="N133:R133"/>
    <mergeCell ref="B134:F134"/>
    <mergeCell ref="G134:L134"/>
    <mergeCell ref="N134:R134"/>
    <mergeCell ref="B135:F135"/>
    <mergeCell ref="G135:L135"/>
    <mergeCell ref="N135:R135"/>
    <mergeCell ref="B136:F136"/>
    <mergeCell ref="G136:L136"/>
    <mergeCell ref="A140:F140"/>
    <mergeCell ref="A159:S159"/>
    <mergeCell ref="T159:X159"/>
    <mergeCell ref="A146:S146"/>
    <mergeCell ref="T146:X146"/>
    <mergeCell ref="A148:S148"/>
    <mergeCell ref="T148:X148"/>
    <mergeCell ref="A149:S149"/>
    <mergeCell ref="T149:X149"/>
    <mergeCell ref="T14:W14"/>
    <mergeCell ref="X14:AA14"/>
    <mergeCell ref="AB14:AE14"/>
    <mergeCell ref="AF14:AI14"/>
    <mergeCell ref="AJ14:AM14"/>
    <mergeCell ref="AN14:AQ14"/>
    <mergeCell ref="AR14:AU14"/>
    <mergeCell ref="AV14:AY14"/>
    <mergeCell ref="AZ14:BC14"/>
    <mergeCell ref="BD14:BG14"/>
    <mergeCell ref="BH14:BK14"/>
    <mergeCell ref="BL14:BO14"/>
    <mergeCell ref="A14:K14"/>
    <mergeCell ref="L14:O14"/>
    <mergeCell ref="P14:S14"/>
    <mergeCell ref="BT14:BW14"/>
    <mergeCell ref="A11:AY11"/>
    <mergeCell ref="BP13:BS13"/>
    <mergeCell ref="BP14:BS14"/>
    <mergeCell ref="BZ19:CP19"/>
    <mergeCell ref="P18:S18"/>
    <mergeCell ref="BT18:BW18"/>
    <mergeCell ref="A18:K18"/>
    <mergeCell ref="L18:O18"/>
    <mergeCell ref="T18:W18"/>
    <mergeCell ref="X18:AA18"/>
    <mergeCell ref="AB18:AE18"/>
    <mergeCell ref="AF18:AI18"/>
    <mergeCell ref="AJ18:AM18"/>
    <mergeCell ref="AN18:AQ18"/>
    <mergeCell ref="AR18:AU18"/>
    <mergeCell ref="AV18:AY18"/>
    <mergeCell ref="AZ18:BC18"/>
    <mergeCell ref="BD18:BG18"/>
    <mergeCell ref="BH18:BK18"/>
    <mergeCell ref="BL18:BO18"/>
    <mergeCell ref="BT19:BW19"/>
    <mergeCell ref="A19:K19"/>
    <mergeCell ref="L19:O19"/>
    <mergeCell ref="P19:S19"/>
    <mergeCell ref="T19:W19"/>
    <mergeCell ref="X19:AA19"/>
    <mergeCell ref="AB19:AE19"/>
    <mergeCell ref="AF19:AI19"/>
    <mergeCell ref="AJ19:AM19"/>
    <mergeCell ref="AN19:AQ19"/>
    <mergeCell ref="AR19:AU19"/>
    <mergeCell ref="AV19:AY19"/>
    <mergeCell ref="AZ19:BC19"/>
    <mergeCell ref="BD19:BG19"/>
    <mergeCell ref="BH19:BK19"/>
  </mergeCells>
  <dataValidations count="1">
    <dataValidation type="list" allowBlank="1" showInputMessage="1" showErrorMessage="1" sqref="DN78:DN85" xr:uid="{00000000-0002-0000-0600-000000000000}">
      <formula1>#REF!</formula1>
    </dataValidation>
  </dataValidations>
  <pageMargins left="0.25" right="0.25" top="0.75" bottom="0.75" header="0.3" footer="0.3"/>
  <pageSetup paperSize="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U75"/>
  <sheetViews>
    <sheetView workbookViewId="0">
      <selection activeCell="G12" sqref="G12"/>
    </sheetView>
  </sheetViews>
  <sheetFormatPr defaultRowHeight="15" x14ac:dyDescent="0.25"/>
  <sheetData>
    <row r="2" spans="2:21" x14ac:dyDescent="0.25">
      <c r="B2" t="s">
        <v>216</v>
      </c>
      <c r="E2" s="1" t="s">
        <v>520</v>
      </c>
      <c r="G2" s="368" t="s">
        <v>368</v>
      </c>
      <c r="J2" s="368" t="s">
        <v>521</v>
      </c>
      <c r="L2" s="368" t="s">
        <v>522</v>
      </c>
      <c r="Q2" s="1076"/>
      <c r="R2" s="1076"/>
      <c r="S2" s="1076"/>
    </row>
    <row r="3" spans="2:21" x14ac:dyDescent="0.25">
      <c r="B3" t="s">
        <v>523</v>
      </c>
      <c r="E3" s="1" t="s">
        <v>524</v>
      </c>
      <c r="G3" s="1" t="s">
        <v>525</v>
      </c>
      <c r="J3" s="2" t="s">
        <v>384</v>
      </c>
      <c r="L3" s="1" t="s">
        <v>382</v>
      </c>
      <c r="Q3" s="1074"/>
      <c r="R3" s="1075"/>
    </row>
    <row r="4" spans="2:21" x14ac:dyDescent="0.25">
      <c r="B4" t="s">
        <v>526</v>
      </c>
      <c r="C4">
        <v>2019</v>
      </c>
      <c r="E4" s="1" t="s">
        <v>527</v>
      </c>
      <c r="G4" s="1" t="s">
        <v>528</v>
      </c>
      <c r="J4" s="2" t="s">
        <v>387</v>
      </c>
      <c r="L4" s="1" t="s">
        <v>383</v>
      </c>
      <c r="Q4" s="1074"/>
      <c r="R4" s="1075"/>
    </row>
    <row r="5" spans="2:21" x14ac:dyDescent="0.25">
      <c r="B5" t="s">
        <v>529</v>
      </c>
      <c r="C5">
        <v>2020</v>
      </c>
      <c r="E5" s="1"/>
      <c r="G5" s="1" t="s">
        <v>374</v>
      </c>
      <c r="J5" s="2" t="s">
        <v>390</v>
      </c>
      <c r="N5" t="s">
        <v>472</v>
      </c>
      <c r="Q5" s="1074"/>
      <c r="R5" s="1075"/>
    </row>
    <row r="6" spans="2:21" x14ac:dyDescent="0.25">
      <c r="B6" t="s">
        <v>530</v>
      </c>
      <c r="C6">
        <v>2021</v>
      </c>
      <c r="E6" s="1"/>
      <c r="G6" s="1" t="s">
        <v>531</v>
      </c>
      <c r="J6" s="2" t="s">
        <v>393</v>
      </c>
      <c r="N6" t="s">
        <v>473</v>
      </c>
      <c r="Q6" s="1074"/>
      <c r="R6" s="1075"/>
    </row>
    <row r="7" spans="2:21" x14ac:dyDescent="0.25">
      <c r="B7" t="s">
        <v>532</v>
      </c>
      <c r="C7">
        <v>2022</v>
      </c>
      <c r="E7" s="1"/>
      <c r="G7" s="1" t="s">
        <v>533</v>
      </c>
      <c r="J7" s="3" t="s">
        <v>396</v>
      </c>
      <c r="N7" t="s">
        <v>475</v>
      </c>
      <c r="Q7" s="1074"/>
      <c r="R7" s="1075"/>
    </row>
    <row r="8" spans="2:21" x14ac:dyDescent="0.25">
      <c r="B8" t="s">
        <v>534</v>
      </c>
      <c r="C8">
        <v>2023</v>
      </c>
      <c r="G8" s="1" t="s">
        <v>535</v>
      </c>
      <c r="J8" s="2" t="s">
        <v>399</v>
      </c>
      <c r="L8" s="368" t="s">
        <v>536</v>
      </c>
      <c r="Q8" s="1074"/>
      <c r="R8" s="1075"/>
    </row>
    <row r="9" spans="2:21" x14ac:dyDescent="0.25">
      <c r="B9" t="s">
        <v>537</v>
      </c>
      <c r="C9">
        <v>2024</v>
      </c>
      <c r="G9" s="1" t="s">
        <v>503</v>
      </c>
      <c r="J9" s="2" t="s">
        <v>402</v>
      </c>
      <c r="L9" s="1" t="s">
        <v>472</v>
      </c>
      <c r="M9" t="s">
        <v>472</v>
      </c>
      <c r="Q9" s="1074"/>
      <c r="R9" s="1075"/>
    </row>
    <row r="10" spans="2:21" x14ac:dyDescent="0.25">
      <c r="B10" t="s">
        <v>538</v>
      </c>
      <c r="C10">
        <v>2025</v>
      </c>
      <c r="J10" s="2" t="s">
        <v>405</v>
      </c>
      <c r="L10" s="1" t="s">
        <v>473</v>
      </c>
      <c r="M10" t="s">
        <v>473</v>
      </c>
      <c r="Q10" s="1074"/>
      <c r="R10" s="1075"/>
      <c r="U10" t="s">
        <v>472</v>
      </c>
    </row>
    <row r="11" spans="2:21" x14ac:dyDescent="0.25">
      <c r="B11" t="s">
        <v>539</v>
      </c>
      <c r="G11" s="368" t="s">
        <v>540</v>
      </c>
      <c r="H11" s="368"/>
      <c r="J11" s="2" t="s">
        <v>408</v>
      </c>
      <c r="L11" s="1" t="s">
        <v>541</v>
      </c>
      <c r="U11" t="s">
        <v>473</v>
      </c>
    </row>
    <row r="12" spans="2:21" x14ac:dyDescent="0.25">
      <c r="B12" t="s">
        <v>542</v>
      </c>
      <c r="G12" s="1" t="s">
        <v>543</v>
      </c>
      <c r="J12" s="2" t="s">
        <v>410</v>
      </c>
      <c r="Q12" t="s">
        <v>471</v>
      </c>
      <c r="U12" t="s">
        <v>475</v>
      </c>
    </row>
    <row r="13" spans="2:21" x14ac:dyDescent="0.25">
      <c r="B13" t="s">
        <v>334</v>
      </c>
      <c r="G13" s="1" t="s">
        <v>379</v>
      </c>
      <c r="J13" s="2" t="s">
        <v>413</v>
      </c>
      <c r="L13" s="368" t="s">
        <v>544</v>
      </c>
      <c r="M13" s="368"/>
      <c r="Q13" t="s">
        <v>256</v>
      </c>
    </row>
    <row r="14" spans="2:21" x14ac:dyDescent="0.25">
      <c r="G14" s="1" t="s">
        <v>503</v>
      </c>
      <c r="J14" s="2" t="s">
        <v>415</v>
      </c>
      <c r="L14" t="s">
        <v>545</v>
      </c>
      <c r="Q14" t="s">
        <v>474</v>
      </c>
    </row>
    <row r="15" spans="2:21" x14ac:dyDescent="0.25">
      <c r="J15" s="2" t="s">
        <v>418</v>
      </c>
      <c r="L15" t="s">
        <v>546</v>
      </c>
      <c r="Q15" t="s">
        <v>476</v>
      </c>
    </row>
    <row r="16" spans="2:21" x14ac:dyDescent="0.25">
      <c r="J16" s="2" t="s">
        <v>420</v>
      </c>
      <c r="L16" t="s">
        <v>547</v>
      </c>
      <c r="Q16" t="s">
        <v>259</v>
      </c>
    </row>
    <row r="17" spans="2:20" x14ac:dyDescent="0.25">
      <c r="J17" s="3" t="s">
        <v>422</v>
      </c>
      <c r="L17" t="s">
        <v>548</v>
      </c>
      <c r="Q17" t="s">
        <v>260</v>
      </c>
    </row>
    <row r="18" spans="2:20" x14ac:dyDescent="0.25">
      <c r="B18" s="4" t="s">
        <v>549</v>
      </c>
      <c r="E18" s="1" t="s">
        <v>550</v>
      </c>
      <c r="J18" s="2" t="s">
        <v>425</v>
      </c>
      <c r="L18" t="s">
        <v>551</v>
      </c>
      <c r="Q18" t="s">
        <v>552</v>
      </c>
    </row>
    <row r="19" spans="2:20" x14ac:dyDescent="0.25">
      <c r="B19" s="4" t="s">
        <v>553</v>
      </c>
      <c r="E19" s="1" t="s">
        <v>554</v>
      </c>
      <c r="J19" s="2" t="s">
        <v>427</v>
      </c>
      <c r="Q19" t="s">
        <v>555</v>
      </c>
    </row>
    <row r="20" spans="2:20" x14ac:dyDescent="0.25">
      <c r="B20" s="4" t="s">
        <v>556</v>
      </c>
      <c r="E20" s="1" t="s">
        <v>557</v>
      </c>
      <c r="J20" s="2" t="s">
        <v>429</v>
      </c>
    </row>
    <row r="21" spans="2:20" x14ac:dyDescent="0.25">
      <c r="B21" s="4" t="s">
        <v>558</v>
      </c>
      <c r="E21" s="1" t="s">
        <v>559</v>
      </c>
      <c r="J21" s="2" t="s">
        <v>432</v>
      </c>
    </row>
    <row r="22" spans="2:20" x14ac:dyDescent="0.25">
      <c r="B22" s="4" t="s">
        <v>560</v>
      </c>
      <c r="E22" s="1" t="s">
        <v>561</v>
      </c>
      <c r="J22" s="2" t="s">
        <v>435</v>
      </c>
    </row>
    <row r="23" spans="2:20" x14ac:dyDescent="0.25">
      <c r="E23" s="1" t="s">
        <v>562</v>
      </c>
      <c r="J23" s="2" t="s">
        <v>439</v>
      </c>
      <c r="M23" t="s">
        <v>563</v>
      </c>
      <c r="Q23" t="s">
        <v>564</v>
      </c>
      <c r="T23" t="s">
        <v>565</v>
      </c>
    </row>
    <row r="24" spans="2:20" x14ac:dyDescent="0.25">
      <c r="E24" s="1" t="s">
        <v>566</v>
      </c>
      <c r="J24" s="2" t="s">
        <v>443</v>
      </c>
      <c r="M24" t="s">
        <v>567</v>
      </c>
    </row>
    <row r="25" spans="2:20" x14ac:dyDescent="0.25">
      <c r="E25" s="1" t="s">
        <v>568</v>
      </c>
      <c r="J25" s="2" t="s">
        <v>447</v>
      </c>
      <c r="M25" t="s">
        <v>569</v>
      </c>
      <c r="Q25" t="s">
        <v>517</v>
      </c>
    </row>
    <row r="26" spans="2:20" x14ac:dyDescent="0.25">
      <c r="E26" s="1" t="s">
        <v>555</v>
      </c>
      <c r="J26" s="2" t="s">
        <v>450</v>
      </c>
      <c r="Q26" t="s">
        <v>518</v>
      </c>
    </row>
    <row r="27" spans="2:20" x14ac:dyDescent="0.25">
      <c r="E27" s="1" t="s">
        <v>541</v>
      </c>
      <c r="J27" s="3" t="s">
        <v>453</v>
      </c>
      <c r="Q27" t="s">
        <v>519</v>
      </c>
    </row>
    <row r="28" spans="2:20" x14ac:dyDescent="0.25">
      <c r="J28" s="2" t="s">
        <v>457</v>
      </c>
    </row>
    <row r="29" spans="2:20" x14ac:dyDescent="0.25">
      <c r="J29" s="2" t="s">
        <v>460</v>
      </c>
      <c r="M29" t="s">
        <v>329</v>
      </c>
    </row>
    <row r="30" spans="2:20" x14ac:dyDescent="0.25">
      <c r="E30" s="1" t="s">
        <v>570</v>
      </c>
      <c r="J30" s="2" t="s">
        <v>463</v>
      </c>
      <c r="M30" t="s">
        <v>571</v>
      </c>
    </row>
    <row r="31" spans="2:20" x14ac:dyDescent="0.25">
      <c r="E31" s="1" t="s">
        <v>572</v>
      </c>
      <c r="J31" s="2" t="s">
        <v>385</v>
      </c>
    </row>
    <row r="32" spans="2:20" x14ac:dyDescent="0.25">
      <c r="E32" s="1" t="s">
        <v>573</v>
      </c>
      <c r="J32" s="2" t="s">
        <v>388</v>
      </c>
    </row>
    <row r="33" spans="1:21" x14ac:dyDescent="0.25">
      <c r="E33" s="1" t="s">
        <v>574</v>
      </c>
      <c r="J33" s="2" t="s">
        <v>391</v>
      </c>
    </row>
    <row r="34" spans="1:21" x14ac:dyDescent="0.25">
      <c r="E34" s="1" t="s">
        <v>575</v>
      </c>
      <c r="J34" s="2" t="s">
        <v>394</v>
      </c>
    </row>
    <row r="35" spans="1:21" x14ac:dyDescent="0.25">
      <c r="E35" s="1" t="s">
        <v>555</v>
      </c>
      <c r="J35" s="2" t="s">
        <v>397</v>
      </c>
    </row>
    <row r="36" spans="1:21" x14ac:dyDescent="0.25">
      <c r="J36" s="2" t="s">
        <v>400</v>
      </c>
    </row>
    <row r="37" spans="1:21" x14ac:dyDescent="0.25">
      <c r="J37" s="3" t="s">
        <v>403</v>
      </c>
    </row>
    <row r="38" spans="1:21" x14ac:dyDescent="0.25">
      <c r="A38" s="1" t="s">
        <v>576</v>
      </c>
      <c r="B38" s="1"/>
      <c r="C38" s="1"/>
      <c r="J38" s="2" t="s">
        <v>406</v>
      </c>
    </row>
    <row r="39" spans="1:21" x14ac:dyDescent="0.25">
      <c r="A39" s="1" t="s">
        <v>577</v>
      </c>
      <c r="B39" s="1"/>
      <c r="C39" s="1"/>
      <c r="J39" s="2" t="s">
        <v>409</v>
      </c>
      <c r="M39" s="5"/>
      <c r="N39" s="5"/>
      <c r="O39" s="5"/>
      <c r="P39" s="5"/>
      <c r="Q39" s="5"/>
      <c r="R39" s="5"/>
      <c r="S39" s="5"/>
      <c r="T39" s="5"/>
      <c r="U39" s="5"/>
    </row>
    <row r="40" spans="1:21" x14ac:dyDescent="0.25">
      <c r="A40" s="1" t="s">
        <v>578</v>
      </c>
      <c r="B40" s="1"/>
      <c r="C40" s="1"/>
      <c r="J40" s="2" t="s">
        <v>411</v>
      </c>
      <c r="M40" s="5"/>
      <c r="N40" s="5"/>
      <c r="O40" s="5"/>
      <c r="P40" s="5"/>
      <c r="Q40" s="5"/>
      <c r="R40" s="5"/>
      <c r="S40" s="5"/>
      <c r="T40" s="5"/>
      <c r="U40" s="5"/>
    </row>
    <row r="41" spans="1:21" x14ac:dyDescent="0.25">
      <c r="A41" s="1" t="s">
        <v>579</v>
      </c>
      <c r="B41" s="1"/>
      <c r="C41" s="1"/>
      <c r="J41" s="2" t="s">
        <v>414</v>
      </c>
      <c r="M41" s="5"/>
      <c r="N41" s="5"/>
      <c r="O41" s="5"/>
      <c r="P41" s="5"/>
      <c r="Q41" s="5"/>
      <c r="R41" s="5"/>
      <c r="S41" s="5"/>
      <c r="T41" s="5"/>
      <c r="U41" s="5"/>
    </row>
    <row r="42" spans="1:21" x14ac:dyDescent="0.25">
      <c r="A42" s="1" t="s">
        <v>580</v>
      </c>
      <c r="B42" s="1"/>
      <c r="C42" s="1"/>
      <c r="J42" s="2" t="s">
        <v>416</v>
      </c>
      <c r="M42" s="5"/>
      <c r="N42" s="5"/>
      <c r="O42" s="5"/>
      <c r="P42" s="5"/>
      <c r="Q42" s="5"/>
      <c r="R42" s="5"/>
      <c r="S42" s="5"/>
      <c r="T42" s="5"/>
      <c r="U42" s="5"/>
    </row>
    <row r="43" spans="1:21" x14ac:dyDescent="0.25">
      <c r="A43" s="1" t="s">
        <v>581</v>
      </c>
      <c r="B43" s="1"/>
      <c r="C43" s="1"/>
      <c r="J43" s="2" t="s">
        <v>419</v>
      </c>
      <c r="M43" s="5"/>
      <c r="N43" s="5"/>
      <c r="O43" s="5"/>
      <c r="P43" s="5"/>
      <c r="Q43" s="5"/>
      <c r="R43" s="5"/>
      <c r="S43" s="5"/>
      <c r="T43" s="5"/>
      <c r="U43" s="5"/>
    </row>
    <row r="44" spans="1:21" x14ac:dyDescent="0.25">
      <c r="A44" s="1" t="s">
        <v>582</v>
      </c>
      <c r="B44" s="1"/>
      <c r="C44" s="1"/>
      <c r="J44" s="2" t="s">
        <v>421</v>
      </c>
      <c r="M44" s="5"/>
      <c r="N44" s="5"/>
      <c r="O44" s="5"/>
      <c r="P44" s="5"/>
      <c r="Q44" s="5"/>
      <c r="R44" s="5"/>
      <c r="S44" s="5"/>
      <c r="T44" s="5"/>
      <c r="U44" s="5"/>
    </row>
    <row r="45" spans="1:21" x14ac:dyDescent="0.25">
      <c r="J45" s="2" t="s">
        <v>423</v>
      </c>
      <c r="M45" s="5"/>
      <c r="N45" s="5"/>
      <c r="O45" s="5"/>
      <c r="P45" s="5"/>
      <c r="Q45" s="5"/>
      <c r="R45" s="5"/>
      <c r="S45" s="5"/>
      <c r="T45" s="5"/>
      <c r="U45" s="5"/>
    </row>
    <row r="46" spans="1:21" x14ac:dyDescent="0.25">
      <c r="A46" s="1" t="s">
        <v>583</v>
      </c>
      <c r="J46" s="2" t="s">
        <v>426</v>
      </c>
      <c r="M46" s="5"/>
      <c r="N46" s="5"/>
      <c r="O46" s="5"/>
      <c r="P46" s="5"/>
      <c r="Q46" s="5"/>
      <c r="R46" s="5"/>
      <c r="S46" s="5"/>
      <c r="T46" s="5"/>
      <c r="U46" s="5"/>
    </row>
    <row r="47" spans="1:21" x14ac:dyDescent="0.25">
      <c r="A47" s="1" t="s">
        <v>584</v>
      </c>
      <c r="J47" s="2" t="s">
        <v>428</v>
      </c>
    </row>
    <row r="48" spans="1:21" x14ac:dyDescent="0.25">
      <c r="A48" s="1" t="s">
        <v>585</v>
      </c>
      <c r="J48" s="2" t="s">
        <v>430</v>
      </c>
    </row>
    <row r="49" spans="1:21" x14ac:dyDescent="0.25">
      <c r="A49" s="1" t="s">
        <v>586</v>
      </c>
      <c r="J49" s="2" t="s">
        <v>433</v>
      </c>
      <c r="M49" s="6"/>
      <c r="N49" s="6"/>
      <c r="O49" s="6"/>
      <c r="P49" s="6"/>
      <c r="Q49" s="6"/>
      <c r="R49" s="6"/>
      <c r="S49" s="6"/>
      <c r="T49" s="6"/>
      <c r="U49" s="7"/>
    </row>
    <row r="50" spans="1:21" x14ac:dyDescent="0.25">
      <c r="J50" s="2" t="s">
        <v>436</v>
      </c>
      <c r="M50" s="8"/>
      <c r="N50" s="8"/>
      <c r="O50" s="8"/>
      <c r="P50" s="8"/>
      <c r="Q50" s="8"/>
      <c r="R50" s="8"/>
      <c r="S50" s="8"/>
      <c r="T50" s="8"/>
      <c r="U50" s="9"/>
    </row>
    <row r="51" spans="1:21" x14ac:dyDescent="0.25">
      <c r="J51" s="2" t="s">
        <v>440</v>
      </c>
      <c r="M51" s="8"/>
      <c r="N51" s="8"/>
      <c r="O51" s="8"/>
      <c r="P51" s="8"/>
      <c r="Q51" s="8"/>
      <c r="R51" s="8"/>
      <c r="S51" s="8"/>
      <c r="T51" s="8"/>
      <c r="U51" s="9"/>
    </row>
    <row r="52" spans="1:21" x14ac:dyDescent="0.25">
      <c r="J52" s="2" t="s">
        <v>444</v>
      </c>
      <c r="M52" s="8"/>
      <c r="N52" s="8"/>
      <c r="O52" s="8"/>
      <c r="P52" s="8"/>
      <c r="Q52" s="8"/>
      <c r="R52" s="8"/>
      <c r="S52" s="8"/>
      <c r="T52" s="8"/>
      <c r="U52" s="9"/>
    </row>
    <row r="53" spans="1:21" x14ac:dyDescent="0.25">
      <c r="J53" s="2" t="s">
        <v>448</v>
      </c>
    </row>
    <row r="54" spans="1:21" x14ac:dyDescent="0.25">
      <c r="J54" s="3" t="s">
        <v>451</v>
      </c>
    </row>
    <row r="55" spans="1:21" x14ac:dyDescent="0.25">
      <c r="J55" s="2" t="s">
        <v>454</v>
      </c>
    </row>
    <row r="56" spans="1:21" x14ac:dyDescent="0.25">
      <c r="J56" s="2" t="s">
        <v>458</v>
      </c>
    </row>
    <row r="57" spans="1:21" x14ac:dyDescent="0.25">
      <c r="J57" s="2" t="s">
        <v>461</v>
      </c>
    </row>
    <row r="60" spans="1:21" x14ac:dyDescent="0.25">
      <c r="A60" s="1" t="s">
        <v>587</v>
      </c>
      <c r="B60" s="1"/>
      <c r="C60" s="1"/>
    </row>
    <row r="61" spans="1:21" x14ac:dyDescent="0.25">
      <c r="A61" s="1" t="s">
        <v>588</v>
      </c>
      <c r="B61" s="1"/>
      <c r="C61" s="1"/>
    </row>
    <row r="62" spans="1:21" x14ac:dyDescent="0.25">
      <c r="A62" s="1" t="s">
        <v>578</v>
      </c>
      <c r="B62" s="1"/>
      <c r="C62" s="1"/>
    </row>
    <row r="63" spans="1:21" x14ac:dyDescent="0.25">
      <c r="A63" s="1" t="s">
        <v>589</v>
      </c>
      <c r="B63" s="1"/>
      <c r="C63" s="1"/>
    </row>
    <row r="64" spans="1:21" x14ac:dyDescent="0.25">
      <c r="A64" s="1" t="s">
        <v>579</v>
      </c>
      <c r="B64" s="1"/>
      <c r="C64" s="1"/>
    </row>
    <row r="65" spans="1:3" x14ac:dyDescent="0.25">
      <c r="A65" s="1" t="s">
        <v>580</v>
      </c>
      <c r="B65" s="1"/>
      <c r="C65" s="1"/>
    </row>
    <row r="66" spans="1:3" x14ac:dyDescent="0.25">
      <c r="A66" s="1" t="s">
        <v>581</v>
      </c>
      <c r="B66" s="1"/>
      <c r="C66" s="1"/>
    </row>
    <row r="67" spans="1:3" x14ac:dyDescent="0.25">
      <c r="A67" s="1" t="s">
        <v>582</v>
      </c>
      <c r="B67" s="1"/>
      <c r="C67" s="1"/>
    </row>
    <row r="74" spans="1:3" x14ac:dyDescent="0.25">
      <c r="A74" t="s">
        <v>590</v>
      </c>
      <c r="B74" t="s">
        <v>591</v>
      </c>
      <c r="C74" t="s">
        <v>592</v>
      </c>
    </row>
    <row r="75" spans="1:3" x14ac:dyDescent="0.25">
      <c r="A75">
        <v>2020</v>
      </c>
    </row>
  </sheetData>
  <sheetProtection algorithmName="SHA-512" hashValue="GUB9yF3/Bu5oHC1oEalKNxXoGB7z9kmIDD5eshHUOSu8ppnn35m5OoWS9H3B5/V/zBey88SVEIP3Ghzp7O4eKg==" saltValue="9+hUS2xgrORfepydhzb2ew==" spinCount="100000" sheet="1" objects="1" scenarios="1"/>
  <mergeCells count="9">
    <mergeCell ref="Q9:R9"/>
    <mergeCell ref="Q10:R10"/>
    <mergeCell ref="Q2:S2"/>
    <mergeCell ref="Q3:R3"/>
    <mergeCell ref="Q4:R4"/>
    <mergeCell ref="Q5:R5"/>
    <mergeCell ref="Q6:R6"/>
    <mergeCell ref="Q7:R7"/>
    <mergeCell ref="Q8:R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4"/>
  <sheetViews>
    <sheetView workbookViewId="0">
      <selection activeCell="A3" sqref="A3"/>
    </sheetView>
  </sheetViews>
  <sheetFormatPr defaultRowHeight="15" x14ac:dyDescent="0.25"/>
  <cols>
    <col min="1" max="1" width="109.42578125" customWidth="1"/>
  </cols>
  <sheetData>
    <row r="2" spans="1:2" ht="31.5" x14ac:dyDescent="0.25">
      <c r="A2" s="373" t="s">
        <v>784</v>
      </c>
    </row>
    <row r="3" spans="1:2" ht="31.5" x14ac:dyDescent="0.25">
      <c r="A3" s="372" t="s">
        <v>785</v>
      </c>
      <c r="B3" t="s">
        <v>787</v>
      </c>
    </row>
    <row r="4" spans="1:2" ht="47.25" x14ac:dyDescent="0.25">
      <c r="A4" s="372" t="s">
        <v>786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as_Teacher_Only_SectionGroup xmlns="012ea76e-c8db-41d4-bef9-6de4f690467b" xsi:nil="true"/>
    <TeamsChannelId xmlns="012ea76e-c8db-41d4-bef9-6de4f690467b" xsi:nil="true"/>
    <Invited_Students xmlns="012ea76e-c8db-41d4-bef9-6de4f690467b" xsi:nil="true"/>
    <IsNotebookLocked xmlns="012ea76e-c8db-41d4-bef9-6de4f690467b" xsi:nil="true"/>
    <Templates xmlns="012ea76e-c8db-41d4-bef9-6de4f690467b" xsi:nil="true"/>
    <Self_Registration_Enabled xmlns="012ea76e-c8db-41d4-bef9-6de4f690467b" xsi:nil="true"/>
    <Distribution_Groups xmlns="012ea76e-c8db-41d4-bef9-6de4f690467b" xsi:nil="true"/>
    <LMS_Mappings xmlns="012ea76e-c8db-41d4-bef9-6de4f690467b" xsi:nil="true"/>
    <Is_Collaboration_Space_Locked xmlns="012ea76e-c8db-41d4-bef9-6de4f690467b" xsi:nil="true"/>
    <CultureName xmlns="012ea76e-c8db-41d4-bef9-6de4f690467b" xsi:nil="true"/>
    <AppVersion xmlns="012ea76e-c8db-41d4-bef9-6de4f690467b" xsi:nil="true"/>
    <NotebookType xmlns="012ea76e-c8db-41d4-bef9-6de4f690467b" xsi:nil="true"/>
    <FolderType xmlns="012ea76e-c8db-41d4-bef9-6de4f690467b" xsi:nil="true"/>
    <Teachers xmlns="012ea76e-c8db-41d4-bef9-6de4f690467b">
      <UserInfo>
        <DisplayName/>
        <AccountId xsi:nil="true"/>
        <AccountType/>
      </UserInfo>
    </Teachers>
    <Student_Groups xmlns="012ea76e-c8db-41d4-bef9-6de4f690467b">
      <UserInfo>
        <DisplayName/>
        <AccountId xsi:nil="true"/>
        <AccountType/>
      </UserInfo>
    </Student_Groups>
    <Invited_Teachers xmlns="012ea76e-c8db-41d4-bef9-6de4f690467b" xsi:nil="true"/>
    <Math_Settings xmlns="012ea76e-c8db-41d4-bef9-6de4f690467b" xsi:nil="true"/>
    <Owner xmlns="012ea76e-c8db-41d4-bef9-6de4f690467b">
      <UserInfo>
        <DisplayName/>
        <AccountId xsi:nil="true"/>
        <AccountType/>
      </UserInfo>
    </Owner>
    <Students xmlns="012ea76e-c8db-41d4-bef9-6de4f690467b">
      <UserInfo>
        <DisplayName/>
        <AccountId xsi:nil="true"/>
        <AccountType/>
      </UserInfo>
    </Students>
    <DefaultSectionNames xmlns="012ea76e-c8db-41d4-bef9-6de4f690467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B0BD5680A1284DBDFC35DCA38CE402" ma:contentTypeVersion="28" ma:contentTypeDescription="Create a new document." ma:contentTypeScope="" ma:versionID="40c91dba64b2a203d0e067992b75e23a">
  <xsd:schema xmlns:xsd="http://www.w3.org/2001/XMLSchema" xmlns:xs="http://www.w3.org/2001/XMLSchema" xmlns:p="http://schemas.microsoft.com/office/2006/metadata/properties" xmlns:ns3="4eebf555-473b-4f24-a4dc-626f17a80f9c" xmlns:ns4="012ea76e-c8db-41d4-bef9-6de4f690467b" targetNamespace="http://schemas.microsoft.com/office/2006/metadata/properties" ma:root="true" ma:fieldsID="39ca489838d8b0860623312e57027650" ns3:_="" ns4:_="">
    <xsd:import namespace="4eebf555-473b-4f24-a4dc-626f17a80f9c"/>
    <xsd:import namespace="012ea76e-c8db-41d4-bef9-6de4f690467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NotebookType" minOccurs="0"/>
                <xsd:element ref="ns4:FolderType" minOccurs="0"/>
                <xsd:element ref="ns4:CultureName" minOccurs="0"/>
                <xsd:element ref="ns4:AppVersion" minOccurs="0"/>
                <xsd:element ref="ns4:TeamsChannelId" minOccurs="0"/>
                <xsd:element ref="ns4:Owner" minOccurs="0"/>
                <xsd:element ref="ns4:Math_Settings" minOccurs="0"/>
                <xsd:element ref="ns4:DefaultSectionNames" minOccurs="0"/>
                <xsd:element ref="ns4:Templates" minOccurs="0"/>
                <xsd:element ref="ns4:Teachers" minOccurs="0"/>
                <xsd:element ref="ns4:Students" minOccurs="0"/>
                <xsd:element ref="ns4:Student_Groups" minOccurs="0"/>
                <xsd:element ref="ns4:Distribution_Groups" minOccurs="0"/>
                <xsd:element ref="ns4:LMS_Mappings" minOccurs="0"/>
                <xsd:element ref="ns4:Invited_Teachers" minOccurs="0"/>
                <xsd:element ref="ns4:Invited_Students" minOccurs="0"/>
                <xsd:element ref="ns4:Self_Registration_Enabled" minOccurs="0"/>
                <xsd:element ref="ns4:Has_Teacher_Only_SectionGroup" minOccurs="0"/>
                <xsd:element ref="ns4:Is_Collaboration_Space_Locked" minOccurs="0"/>
                <xsd:element ref="ns4:IsNotebookLocked"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bf555-473b-4f24-a4dc-626f17a80f9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2ea76e-c8db-41d4-bef9-6de4f690467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NotebookType" ma:index="15" nillable="true" ma:displayName="Notebook Type" ma:internalName="NotebookType">
      <xsd:simpleType>
        <xsd:restriction base="dms:Text"/>
      </xsd:simpleType>
    </xsd:element>
    <xsd:element name="FolderType" ma:index="16" nillable="true" ma:displayName="Folder Type" ma:internalName="FolderType">
      <xsd:simpleType>
        <xsd:restriction base="dms:Text"/>
      </xsd:simpleType>
    </xsd:element>
    <xsd:element name="CultureName" ma:index="17" nillable="true" ma:displayName="Culture Name" ma:internalName="CultureName">
      <xsd:simpleType>
        <xsd:restriction base="dms:Text"/>
      </xsd:simpleType>
    </xsd:element>
    <xsd:element name="AppVersion" ma:index="18" nillable="true" ma:displayName="App Version" ma:internalName="AppVersion">
      <xsd:simpleType>
        <xsd:restriction base="dms:Text"/>
      </xsd:simpleType>
    </xsd:element>
    <xsd:element name="TeamsChannelId" ma:index="19" nillable="true" ma:displayName="Teams Channel Id" ma:internalName="TeamsChannelId">
      <xsd:simpleType>
        <xsd:restriction base="dms:Text"/>
      </xsd:simpleType>
    </xsd:element>
    <xsd:element name="Owner" ma:index="20"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1" nillable="true" ma:displayName="Math Settings" ma:internalName="Math_Settings">
      <xsd:simpleType>
        <xsd:restriction base="dms:Text"/>
      </xsd:simpleType>
    </xsd:element>
    <xsd:element name="DefaultSectionNames" ma:index="22" nillable="true" ma:displayName="Default Section Names" ma:internalName="DefaultSectionNames">
      <xsd:simpleType>
        <xsd:restriction base="dms:Note">
          <xsd:maxLength value="255"/>
        </xsd:restriction>
      </xsd:simpleType>
    </xsd:element>
    <xsd:element name="Templates" ma:index="23" nillable="true" ma:displayName="Templates" ma:internalName="Templates">
      <xsd:simpleType>
        <xsd:restriction base="dms:Note">
          <xsd:maxLength value="255"/>
        </xsd:restriction>
      </xsd:simpleType>
    </xsd:element>
    <xsd:element name="Teachers" ma:index="24"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25"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26"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7" nillable="true" ma:displayName="Distribution Groups" ma:internalName="Distribution_Groups">
      <xsd:simpleType>
        <xsd:restriction base="dms:Note">
          <xsd:maxLength value="255"/>
        </xsd:restriction>
      </xsd:simpleType>
    </xsd:element>
    <xsd:element name="LMS_Mappings" ma:index="28" nillable="true" ma:displayName="LMS Mappings" ma:internalName="LMS_Mappings">
      <xsd:simpleType>
        <xsd:restriction base="dms:Note">
          <xsd:maxLength value="255"/>
        </xsd:restriction>
      </xsd:simpleType>
    </xsd:element>
    <xsd:element name="Invited_Teachers" ma:index="29" nillable="true" ma:displayName="Invited Teachers" ma:internalName="Invited_Teachers">
      <xsd:simpleType>
        <xsd:restriction base="dms:Note">
          <xsd:maxLength value="255"/>
        </xsd:restriction>
      </xsd:simpleType>
    </xsd:element>
    <xsd:element name="Invited_Students" ma:index="30" nillable="true" ma:displayName="Invited Students" ma:internalName="Invited_Students">
      <xsd:simpleType>
        <xsd:restriction base="dms:Note">
          <xsd:maxLength value="255"/>
        </xsd:restriction>
      </xsd:simpleType>
    </xsd:element>
    <xsd:element name="Self_Registration_Enabled" ma:index="31" nillable="true" ma:displayName="Self Registration Enabled" ma:internalName="Self_Registration_Enabled">
      <xsd:simpleType>
        <xsd:restriction base="dms:Boolean"/>
      </xsd:simpleType>
    </xsd:element>
    <xsd:element name="Has_Teacher_Only_SectionGroup" ma:index="32" nillable="true" ma:displayName="Has Teacher Only SectionGroup" ma:internalName="Has_Teacher_Only_SectionGroup">
      <xsd:simpleType>
        <xsd:restriction base="dms:Boolean"/>
      </xsd:simpleType>
    </xsd:element>
    <xsd:element name="Is_Collaboration_Space_Locked" ma:index="33" nillable="true" ma:displayName="Is Collaboration Space Locked" ma:internalName="Is_Collaboration_Space_Locked">
      <xsd:simpleType>
        <xsd:restriction base="dms:Boolean"/>
      </xsd:simpleType>
    </xsd:element>
    <xsd:element name="IsNotebookLocked" ma:index="34" nillable="true" ma:displayName="Is Notebook Locked" ma:internalName="IsNotebookLocked">
      <xsd:simpleType>
        <xsd:restriction base="dms:Boolean"/>
      </xsd:simpleType>
    </xsd:element>
    <xsd:element name="MediaServiceDateTaken" ma:index="3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ACD8C3-9852-4C12-9ABD-8559C079883D}">
  <ds:schemaRefs>
    <ds:schemaRef ds:uri="http://schemas.microsoft.com/sharepoint/v3/contenttype/forms"/>
  </ds:schemaRefs>
</ds:datastoreItem>
</file>

<file path=customXml/itemProps2.xml><?xml version="1.0" encoding="utf-8"?>
<ds:datastoreItem xmlns:ds="http://schemas.openxmlformats.org/officeDocument/2006/customXml" ds:itemID="{7B561D04-333A-4EAE-AFB9-D27CBC62B835}">
  <ds:schemaRefs>
    <ds:schemaRef ds:uri="http://schemas.microsoft.com/office/2006/documentManagement/types"/>
    <ds:schemaRef ds:uri="http://schemas.microsoft.com/office/2006/metadata/properties"/>
    <ds:schemaRef ds:uri="4eebf555-473b-4f24-a4dc-626f17a80f9c"/>
    <ds:schemaRef ds:uri="http://purl.org/dc/terms/"/>
    <ds:schemaRef ds:uri="http://schemas.openxmlformats.org/package/2006/metadata/core-properties"/>
    <ds:schemaRef ds:uri="http://purl.org/dc/dcmitype/"/>
    <ds:schemaRef ds:uri="http://schemas.microsoft.com/office/infopath/2007/PartnerControls"/>
    <ds:schemaRef ds:uri="012ea76e-c8db-41d4-bef9-6de4f690467b"/>
    <ds:schemaRef ds:uri="http://www.w3.org/XML/1998/namespace"/>
    <ds:schemaRef ds:uri="http://purl.org/dc/elements/1.1/"/>
  </ds:schemaRefs>
</ds:datastoreItem>
</file>

<file path=customXml/itemProps3.xml><?xml version="1.0" encoding="utf-8"?>
<ds:datastoreItem xmlns:ds="http://schemas.openxmlformats.org/officeDocument/2006/customXml" ds:itemID="{D1943EAD-4DE9-4CC1-BD20-64BD0FD8BE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ebf555-473b-4f24-a4dc-626f17a80f9c"/>
    <ds:schemaRef ds:uri="012ea76e-c8db-41d4-bef9-6de4f69046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BASE GRANTEE SET UP &amp; INFO</vt:lpstr>
      <vt:lpstr>RC and FUNDS FOR YOU</vt:lpstr>
      <vt:lpstr>Neuropsychological Evals</vt:lpstr>
      <vt:lpstr>Training &amp; TA</vt:lpstr>
      <vt:lpstr>Public Meetings</vt:lpstr>
      <vt:lpstr>Summary </vt:lpstr>
      <vt:lpstr>pick list </vt:lpstr>
      <vt:lpstr>Sheet1</vt:lpstr>
      <vt:lpstr>FUNDS FOR YOU</vt:lpstr>
    </vt:vector>
  </TitlesOfParts>
  <Manager/>
  <Company>West Virginia Office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Winston, Pat A</dc:creator>
  <cp:keywords/>
  <dc:description/>
  <cp:lastModifiedBy>Perry, Saundra K</cp:lastModifiedBy>
  <cp:revision/>
  <dcterms:created xsi:type="dcterms:W3CDTF">2017-04-11T11:13:15Z</dcterms:created>
  <dcterms:modified xsi:type="dcterms:W3CDTF">2025-09-05T17:24:23Z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0x0101008AB0BD5680A1284DBDFC35DCA38CE402</vt:lpwstr>
  </property>
</Properties>
</file>